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palmiragonzalez\Documents\Site\Federalizados\Ejercicio2020\Publicaciones\"/>
    </mc:Choice>
  </mc:AlternateContent>
  <bookViews>
    <workbookView xWindow="0" yWindow="0" windowWidth="28800" windowHeight="12435"/>
  </bookViews>
  <sheets>
    <sheet name="PROVISIONALES" sheetId="5" r:id="rId1"/>
    <sheet name="DEFINITIVAS" sheetId="6" r:id="rId2"/>
    <sheet name="SALDO AJUSTES" sheetId="8" r:id="rId3"/>
    <sheet name="FGP" sheetId="9" r:id="rId4"/>
    <sheet name="FFM" sheetId="10" r:id="rId5"/>
    <sheet name="IEPS TyA" sheetId="11" r:id="rId6"/>
    <sheet name="FOFIR" sheetId="12" r:id="rId7"/>
    <sheet name="Datos" sheetId="13" state="veryHidden" r:id="rId8"/>
    <sheet name="CENSO 2015" sheetId="14" state="veryHidden" r:id="rId9"/>
    <sheet name="Predial y Agua" sheetId="15" state="veryHidden" r:id="rId10"/>
  </sheets>
  <externalReferences>
    <externalReference r:id="rId11"/>
  </externalReferences>
  <definedNames>
    <definedName name="_xlnm.Print_Area" localSheetId="7">Datos!$B$4:$M$83</definedName>
    <definedName name="_xlnm.Print_Area" localSheetId="1">DEFINITIVAS!$A$1:$K$29</definedName>
    <definedName name="_xlnm.Print_Area" localSheetId="4">FFM!$A$1:$M$58</definedName>
    <definedName name="_xlnm.Print_Area" localSheetId="3">FGP!$B$2:$S$34</definedName>
    <definedName name="_xlnm.Print_Area" localSheetId="6">FOFIR!$A$1:$H$29</definedName>
    <definedName name="_xlnm.Print_Area" localSheetId="9">'Predial y Agua'!$A$3:$G$29</definedName>
  </definedNames>
  <calcPr calcId="152511"/>
</workbook>
</file>

<file path=xl/calcChain.xml><?xml version="1.0" encoding="utf-8"?>
<calcChain xmlns="http://schemas.openxmlformats.org/spreadsheetml/2006/main">
  <c r="L34" i="13" l="1"/>
  <c r="H27" i="12" s="1"/>
  <c r="C10" i="12"/>
  <c r="C14" i="12"/>
  <c r="C18" i="12"/>
  <c r="C22" i="12"/>
  <c r="C26" i="12"/>
  <c r="E11" i="10"/>
  <c r="E15" i="10"/>
  <c r="E19" i="10"/>
  <c r="E23" i="10"/>
  <c r="E27" i="10"/>
  <c r="H12" i="9"/>
  <c r="H16" i="9"/>
  <c r="H20" i="9"/>
  <c r="H24" i="9"/>
  <c r="H28" i="9"/>
  <c r="G12" i="9"/>
  <c r="G16" i="9"/>
  <c r="G20" i="9"/>
  <c r="G24" i="9"/>
  <c r="G28" i="9"/>
  <c r="F29" i="15"/>
  <c r="E29" i="15"/>
  <c r="C29" i="15"/>
  <c r="B29" i="15"/>
  <c r="G28" i="15"/>
  <c r="D28" i="15"/>
  <c r="G27" i="15"/>
  <c r="C25" i="12" s="1"/>
  <c r="D27" i="15"/>
  <c r="G27" i="9" s="1"/>
  <c r="G26" i="15"/>
  <c r="C24" i="12" s="1"/>
  <c r="D26" i="15"/>
  <c r="G26" i="9" s="1"/>
  <c r="G25" i="15"/>
  <c r="C23" i="12" s="1"/>
  <c r="D25" i="15"/>
  <c r="G25" i="9" s="1"/>
  <c r="G24" i="15"/>
  <c r="D24" i="15"/>
  <c r="G23" i="15"/>
  <c r="C21" i="12" s="1"/>
  <c r="D23" i="15"/>
  <c r="G23" i="9" s="1"/>
  <c r="G22" i="15"/>
  <c r="C20" i="12" s="1"/>
  <c r="D22" i="15"/>
  <c r="G22" i="9" s="1"/>
  <c r="G21" i="15"/>
  <c r="C19" i="12" s="1"/>
  <c r="D21" i="15"/>
  <c r="G21" i="9" s="1"/>
  <c r="G20" i="15"/>
  <c r="D20" i="15"/>
  <c r="G19" i="15"/>
  <c r="C17" i="12" s="1"/>
  <c r="D19" i="15"/>
  <c r="G19" i="9" s="1"/>
  <c r="G18" i="15"/>
  <c r="C16" i="12" s="1"/>
  <c r="D18" i="15"/>
  <c r="G18" i="9" s="1"/>
  <c r="G17" i="15"/>
  <c r="C15" i="12" s="1"/>
  <c r="D17" i="15"/>
  <c r="G17" i="9" s="1"/>
  <c r="G16" i="15"/>
  <c r="D16" i="15"/>
  <c r="G15" i="15"/>
  <c r="C13" i="12" s="1"/>
  <c r="D15" i="15"/>
  <c r="G15" i="9" s="1"/>
  <c r="G14" i="15"/>
  <c r="C12" i="12" s="1"/>
  <c r="D14" i="15"/>
  <c r="G14" i="9" s="1"/>
  <c r="G13" i="15"/>
  <c r="C11" i="12" s="1"/>
  <c r="D13" i="15"/>
  <c r="G13" i="9" s="1"/>
  <c r="G12" i="15"/>
  <c r="D12" i="15"/>
  <c r="G11" i="15"/>
  <c r="C9" i="12" s="1"/>
  <c r="D11" i="15"/>
  <c r="G11" i="9" s="1"/>
  <c r="G10" i="15"/>
  <c r="C8" i="12" s="1"/>
  <c r="D10" i="15"/>
  <c r="G10" i="9" s="1"/>
  <c r="G9" i="15"/>
  <c r="G29" i="15" s="1"/>
  <c r="D9" i="15"/>
  <c r="G9" i="9" s="1"/>
  <c r="H27" i="9" l="1"/>
  <c r="H23" i="9"/>
  <c r="H19" i="9"/>
  <c r="H15" i="9"/>
  <c r="H11" i="9"/>
  <c r="E26" i="10"/>
  <c r="E22" i="10"/>
  <c r="E18" i="10"/>
  <c r="E14" i="10"/>
  <c r="E10" i="10"/>
  <c r="H26" i="9"/>
  <c r="H22" i="9"/>
  <c r="H18" i="9"/>
  <c r="H14" i="9"/>
  <c r="H10" i="9"/>
  <c r="E25" i="10"/>
  <c r="E21" i="10"/>
  <c r="E17" i="10"/>
  <c r="E13" i="10"/>
  <c r="E9" i="10"/>
  <c r="H9" i="9"/>
  <c r="H25" i="9"/>
  <c r="H21" i="9"/>
  <c r="H17" i="9"/>
  <c r="H13" i="9"/>
  <c r="E8" i="10"/>
  <c r="E24" i="10"/>
  <c r="E20" i="10"/>
  <c r="E16" i="10"/>
  <c r="E12" i="10"/>
  <c r="C7" i="12"/>
  <c r="D29" i="15"/>
  <c r="E8" i="12" l="1"/>
  <c r="E9" i="12"/>
  <c r="E10" i="12"/>
  <c r="E11" i="12"/>
  <c r="E12" i="12"/>
  <c r="E13" i="12"/>
  <c r="E14" i="12"/>
  <c r="E15" i="12"/>
  <c r="E16" i="12"/>
  <c r="E17" i="12"/>
  <c r="E18" i="12"/>
  <c r="E19" i="12"/>
  <c r="E20" i="12"/>
  <c r="E21" i="12"/>
  <c r="E22" i="12"/>
  <c r="E23" i="12"/>
  <c r="E24" i="12"/>
  <c r="E25" i="12"/>
  <c r="E26" i="12"/>
  <c r="E7" i="12"/>
  <c r="C10" i="9"/>
  <c r="C11" i="9"/>
  <c r="C12" i="9"/>
  <c r="C13" i="9"/>
  <c r="C14" i="9"/>
  <c r="C15" i="9"/>
  <c r="C16" i="9"/>
  <c r="C17" i="9"/>
  <c r="C18" i="9"/>
  <c r="C19" i="9"/>
  <c r="C20" i="9"/>
  <c r="C21" i="9"/>
  <c r="C22" i="9"/>
  <c r="C23" i="9"/>
  <c r="C24" i="9"/>
  <c r="C25" i="9"/>
  <c r="C26" i="9"/>
  <c r="C27" i="9"/>
  <c r="C28" i="9"/>
  <c r="C9" i="9"/>
  <c r="E29" i="5" l="1"/>
  <c r="D10" i="5" s="1"/>
  <c r="G29" i="5"/>
  <c r="F10" i="5" s="1"/>
  <c r="I29" i="5"/>
  <c r="H10" i="5" s="1"/>
  <c r="C29" i="5"/>
  <c r="B12" i="5" s="1"/>
  <c r="I29" i="6"/>
  <c r="H10" i="6" s="1"/>
  <c r="G29" i="6"/>
  <c r="F10" i="6" s="1"/>
  <c r="E29" i="6"/>
  <c r="D11" i="6" s="1"/>
  <c r="C29" i="6"/>
  <c r="B13" i="6" s="1"/>
  <c r="H19" i="6" l="1"/>
  <c r="H25" i="6"/>
  <c r="B22" i="6"/>
  <c r="B14" i="6"/>
  <c r="F25" i="6"/>
  <c r="H17" i="6"/>
  <c r="F17" i="6"/>
  <c r="B18" i="6"/>
  <c r="F27" i="6"/>
  <c r="F11" i="6"/>
  <c r="B11" i="6"/>
  <c r="B26" i="6"/>
  <c r="F19" i="6"/>
  <c r="H27" i="6"/>
  <c r="H11" i="6"/>
  <c r="H23" i="6"/>
  <c r="H15" i="6"/>
  <c r="H9" i="6"/>
  <c r="H21" i="6"/>
  <c r="H13" i="6"/>
  <c r="F23" i="6"/>
  <c r="F15" i="6"/>
  <c r="F9" i="6"/>
  <c r="F21" i="6"/>
  <c r="F13" i="6"/>
  <c r="D28" i="6"/>
  <c r="D22" i="6"/>
  <c r="D17" i="6"/>
  <c r="D12" i="6"/>
  <c r="D26" i="6"/>
  <c r="D21" i="6"/>
  <c r="D16" i="6"/>
  <c r="D10" i="6"/>
  <c r="D25" i="6"/>
  <c r="D20" i="6"/>
  <c r="D14" i="6"/>
  <c r="D9" i="6"/>
  <c r="D24" i="6"/>
  <c r="D18" i="6"/>
  <c r="D13" i="6"/>
  <c r="B28" i="6"/>
  <c r="B24" i="6"/>
  <c r="B20" i="6"/>
  <c r="B16" i="6"/>
  <c r="B12" i="6"/>
  <c r="B9" i="6"/>
  <c r="B27" i="6"/>
  <c r="B23" i="6"/>
  <c r="B19" i="6"/>
  <c r="B15" i="6"/>
  <c r="B10" i="6"/>
  <c r="B25" i="6"/>
  <c r="B21" i="6"/>
  <c r="B17" i="6"/>
  <c r="H27" i="5"/>
  <c r="H11" i="5"/>
  <c r="H23" i="5"/>
  <c r="H15" i="5"/>
  <c r="H9" i="5"/>
  <c r="H21" i="5"/>
  <c r="H13" i="5"/>
  <c r="H19" i="5"/>
  <c r="H25" i="5"/>
  <c r="H17" i="5"/>
  <c r="D23" i="5"/>
  <c r="D19" i="5"/>
  <c r="D11" i="5"/>
  <c r="D27" i="5"/>
  <c r="D15" i="5"/>
  <c r="B19" i="5"/>
  <c r="B14" i="5"/>
  <c r="B25" i="5"/>
  <c r="B27" i="5"/>
  <c r="B22" i="5"/>
  <c r="B17" i="5"/>
  <c r="B11" i="5"/>
  <c r="B26" i="5"/>
  <c r="B21" i="5"/>
  <c r="B15" i="5"/>
  <c r="B10" i="5"/>
  <c r="B9" i="5"/>
  <c r="B23" i="5"/>
  <c r="B18" i="5"/>
  <c r="B13" i="5"/>
  <c r="B28" i="5"/>
  <c r="B24" i="5"/>
  <c r="B20" i="5"/>
  <c r="B16" i="5"/>
  <c r="H28" i="5"/>
  <c r="H24" i="5"/>
  <c r="H20" i="5"/>
  <c r="H16" i="5"/>
  <c r="H12" i="5"/>
  <c r="H26" i="5"/>
  <c r="H22" i="5"/>
  <c r="H18" i="5"/>
  <c r="H14" i="5"/>
  <c r="F25" i="5"/>
  <c r="F13" i="5"/>
  <c r="F28" i="5"/>
  <c r="F24" i="5"/>
  <c r="F20" i="5"/>
  <c r="F16" i="5"/>
  <c r="F12" i="5"/>
  <c r="F9" i="5"/>
  <c r="F17" i="5"/>
  <c r="F27" i="5"/>
  <c r="F23" i="5"/>
  <c r="F19" i="5"/>
  <c r="F15" i="5"/>
  <c r="F11" i="5"/>
  <c r="F21" i="5"/>
  <c r="F26" i="5"/>
  <c r="F22" i="5"/>
  <c r="F18" i="5"/>
  <c r="F14" i="5"/>
  <c r="D9" i="5"/>
  <c r="D25" i="5"/>
  <c r="D21" i="5"/>
  <c r="D17" i="5"/>
  <c r="D13" i="5"/>
  <c r="D28" i="5"/>
  <c r="D24" i="5"/>
  <c r="D20" i="5"/>
  <c r="D16" i="5"/>
  <c r="D12" i="5"/>
  <c r="D26" i="5"/>
  <c r="D22" i="5"/>
  <c r="D18" i="5"/>
  <c r="D14" i="5"/>
  <c r="H28" i="6"/>
  <c r="H24" i="6"/>
  <c r="H20" i="6"/>
  <c r="H16" i="6"/>
  <c r="H12" i="6"/>
  <c r="H26" i="6"/>
  <c r="H22" i="6"/>
  <c r="H18" i="6"/>
  <c r="H14" i="6"/>
  <c r="F28" i="6"/>
  <c r="F24" i="6"/>
  <c r="F20" i="6"/>
  <c r="F16" i="6"/>
  <c r="F12" i="6"/>
  <c r="F26" i="6"/>
  <c r="F22" i="6"/>
  <c r="F18" i="6"/>
  <c r="F14" i="6"/>
  <c r="D27" i="6"/>
  <c r="D23" i="6"/>
  <c r="D19" i="6"/>
  <c r="D15" i="6"/>
  <c r="H29" i="5" l="1"/>
  <c r="F29" i="5"/>
  <c r="D29" i="5" l="1"/>
  <c r="C30" i="14" l="1"/>
  <c r="I79" i="13"/>
  <c r="J79" i="13" s="1"/>
  <c r="I78" i="13"/>
  <c r="J78" i="13" s="1"/>
  <c r="I77" i="13"/>
  <c r="I69" i="13"/>
  <c r="J69" i="13" s="1"/>
  <c r="I68" i="13"/>
  <c r="J68" i="13" s="1"/>
  <c r="I67" i="13"/>
  <c r="K58" i="13"/>
  <c r="K60" i="13" s="1"/>
  <c r="O55" i="13"/>
  <c r="O56" i="13" s="1"/>
  <c r="K55" i="13"/>
  <c r="I55" i="13" s="1"/>
  <c r="I54" i="13"/>
  <c r="I53" i="13"/>
  <c r="K50" i="13"/>
  <c r="L49" i="13"/>
  <c r="K45" i="13"/>
  <c r="K40" i="13"/>
  <c r="K35" i="13"/>
  <c r="I35" i="13" s="1"/>
  <c r="I34" i="13"/>
  <c r="I33" i="13"/>
  <c r="L28" i="13"/>
  <c r="L27" i="13"/>
  <c r="K24" i="13"/>
  <c r="K25" i="13" s="1"/>
  <c r="K26" i="13" s="1"/>
  <c r="K28" i="13" s="1"/>
  <c r="I13" i="13"/>
  <c r="N12" i="13"/>
  <c r="K11" i="13"/>
  <c r="I12" i="13" s="1"/>
  <c r="L10" i="13"/>
  <c r="M9" i="13"/>
  <c r="M10" i="13" s="1"/>
  <c r="J27" i="12"/>
  <c r="B58" i="10"/>
  <c r="B57" i="10"/>
  <c r="B56" i="10"/>
  <c r="B55" i="10"/>
  <c r="B54" i="10"/>
  <c r="B53" i="10"/>
  <c r="B52" i="10"/>
  <c r="B51" i="10"/>
  <c r="B50" i="10"/>
  <c r="B49" i="10"/>
  <c r="B48" i="10"/>
  <c r="B47" i="10"/>
  <c r="B46" i="10"/>
  <c r="B45" i="10"/>
  <c r="B44" i="10"/>
  <c r="B43" i="10"/>
  <c r="B42" i="10"/>
  <c r="B41" i="10"/>
  <c r="B40" i="10"/>
  <c r="B39" i="10"/>
  <c r="B38" i="10"/>
  <c r="S28" i="10"/>
  <c r="Q28" i="10"/>
  <c r="O28" i="10"/>
  <c r="P27" i="10"/>
  <c r="N27" i="10"/>
  <c r="B27" i="10"/>
  <c r="T26" i="10"/>
  <c r="N26" i="10"/>
  <c r="P26" i="10" s="1"/>
  <c r="B26" i="10"/>
  <c r="T25" i="10"/>
  <c r="N25" i="10"/>
  <c r="P25" i="10" s="1"/>
  <c r="B25" i="10"/>
  <c r="T24" i="10"/>
  <c r="N24" i="10"/>
  <c r="P24" i="10" s="1"/>
  <c r="B24" i="10"/>
  <c r="T23" i="10"/>
  <c r="N23" i="10"/>
  <c r="P23" i="10" s="1"/>
  <c r="B23" i="10"/>
  <c r="T22" i="10"/>
  <c r="N22" i="10"/>
  <c r="P22" i="10" s="1"/>
  <c r="B22" i="10"/>
  <c r="T21" i="10"/>
  <c r="N21" i="10"/>
  <c r="P21" i="10" s="1"/>
  <c r="B21" i="10"/>
  <c r="T20" i="10"/>
  <c r="N20" i="10"/>
  <c r="P20" i="10" s="1"/>
  <c r="B20" i="10"/>
  <c r="T19" i="10"/>
  <c r="N19" i="10"/>
  <c r="P19" i="10" s="1"/>
  <c r="B19" i="10"/>
  <c r="T18" i="10"/>
  <c r="N18" i="10"/>
  <c r="P18" i="10" s="1"/>
  <c r="B18" i="10"/>
  <c r="T17" i="10"/>
  <c r="P17" i="10"/>
  <c r="N17" i="10"/>
  <c r="B17" i="10"/>
  <c r="T16" i="10"/>
  <c r="N16" i="10"/>
  <c r="P16" i="10" s="1"/>
  <c r="B16" i="10"/>
  <c r="T15" i="10"/>
  <c r="N15" i="10"/>
  <c r="P15" i="10" s="1"/>
  <c r="B15" i="10"/>
  <c r="T14" i="10"/>
  <c r="N14" i="10"/>
  <c r="P14" i="10" s="1"/>
  <c r="B14" i="10"/>
  <c r="T13" i="10"/>
  <c r="N13" i="10"/>
  <c r="P13" i="10" s="1"/>
  <c r="B13" i="10"/>
  <c r="N12" i="10"/>
  <c r="P12" i="10" s="1"/>
  <c r="B12" i="10"/>
  <c r="P11" i="10"/>
  <c r="N11" i="10"/>
  <c r="B11" i="10"/>
  <c r="N10" i="10"/>
  <c r="P10" i="10" s="1"/>
  <c r="B10" i="10"/>
  <c r="N9" i="10"/>
  <c r="P9" i="10" s="1"/>
  <c r="B9" i="10"/>
  <c r="N8" i="10"/>
  <c r="N28" i="10" s="1"/>
  <c r="L8" i="10"/>
  <c r="L28" i="10" s="1"/>
  <c r="B8" i="10"/>
  <c r="G29" i="9"/>
  <c r="C29" i="9"/>
  <c r="D26" i="9" s="1"/>
  <c r="E26" i="9" s="1"/>
  <c r="P8" i="10" l="1"/>
  <c r="P28" i="10" s="1"/>
  <c r="I19" i="13"/>
  <c r="L50" i="13"/>
  <c r="D9" i="11"/>
  <c r="D11" i="11"/>
  <c r="D15" i="11"/>
  <c r="D19" i="11"/>
  <c r="D23" i="11"/>
  <c r="D7" i="11"/>
  <c r="D8" i="11"/>
  <c r="D12" i="11"/>
  <c r="D16" i="11"/>
  <c r="D20" i="11"/>
  <c r="D24" i="11"/>
  <c r="D13" i="11"/>
  <c r="D17" i="11"/>
  <c r="D21" i="11"/>
  <c r="D25" i="11"/>
  <c r="D10" i="11"/>
  <c r="D14" i="11"/>
  <c r="D18" i="11"/>
  <c r="D22" i="11"/>
  <c r="D26" i="11"/>
  <c r="I70" i="13"/>
  <c r="K27" i="13"/>
  <c r="J67" i="13"/>
  <c r="J70" i="13" s="1"/>
  <c r="I80" i="13"/>
  <c r="J77" i="13"/>
  <c r="J80" i="13" s="1"/>
  <c r="I10" i="9"/>
  <c r="I13" i="9"/>
  <c r="I14" i="9"/>
  <c r="I18" i="9"/>
  <c r="I21" i="9"/>
  <c r="I22" i="9"/>
  <c r="I25" i="9"/>
  <c r="I26" i="9"/>
  <c r="I17" i="9"/>
  <c r="I11" i="9"/>
  <c r="I12" i="9"/>
  <c r="I16" i="9"/>
  <c r="I20" i="9"/>
  <c r="I24" i="9"/>
  <c r="I27" i="9"/>
  <c r="I28" i="9"/>
  <c r="E28" i="10"/>
  <c r="F18" i="10" s="1"/>
  <c r="G18" i="10" s="1"/>
  <c r="I15" i="9"/>
  <c r="I19" i="9"/>
  <c r="I23" i="9"/>
  <c r="D21" i="9"/>
  <c r="E21" i="9" s="1"/>
  <c r="L30" i="13"/>
  <c r="E27" i="12"/>
  <c r="D11" i="9"/>
  <c r="E11" i="9" s="1"/>
  <c r="D15" i="9"/>
  <c r="E15" i="9" s="1"/>
  <c r="D19" i="9"/>
  <c r="E19" i="9" s="1"/>
  <c r="D25" i="9"/>
  <c r="E25" i="9" s="1"/>
  <c r="D10" i="9"/>
  <c r="E10" i="9" s="1"/>
  <c r="D14" i="9"/>
  <c r="E14" i="9" s="1"/>
  <c r="D18" i="9"/>
  <c r="E18" i="9" s="1"/>
  <c r="D27" i="9"/>
  <c r="E27" i="9" s="1"/>
  <c r="D9" i="9"/>
  <c r="E9" i="9" s="1"/>
  <c r="D13" i="9"/>
  <c r="E13" i="9" s="1"/>
  <c r="D17" i="9"/>
  <c r="E17" i="9" s="1"/>
  <c r="D12" i="9"/>
  <c r="E12" i="9" s="1"/>
  <c r="D16" i="9"/>
  <c r="E16" i="9" s="1"/>
  <c r="D20" i="9"/>
  <c r="E20" i="9" s="1"/>
  <c r="D23" i="9"/>
  <c r="E23" i="9" s="1"/>
  <c r="L16" i="13"/>
  <c r="L15" i="13"/>
  <c r="L17" i="13"/>
  <c r="R29" i="9" s="1"/>
  <c r="I9" i="9"/>
  <c r="D24" i="9"/>
  <c r="E24" i="9" s="1"/>
  <c r="D28" i="9"/>
  <c r="E28" i="9" s="1"/>
  <c r="D22" i="9"/>
  <c r="E22" i="9" s="1"/>
  <c r="T28" i="10"/>
  <c r="B28" i="10"/>
  <c r="C15" i="10" s="1"/>
  <c r="I17" i="13"/>
  <c r="I15" i="13"/>
  <c r="I16" i="13"/>
  <c r="K30" i="13"/>
  <c r="I18" i="13" l="1"/>
  <c r="K18" i="13" s="1"/>
  <c r="C27" i="12"/>
  <c r="D10" i="12" s="1"/>
  <c r="F10" i="12" s="1"/>
  <c r="H29" i="9"/>
  <c r="L18" i="13"/>
  <c r="F13" i="9" s="1"/>
  <c r="C19" i="10"/>
  <c r="D15" i="10"/>
  <c r="F28" i="10"/>
  <c r="F27" i="10"/>
  <c r="G27" i="10" s="1"/>
  <c r="F19" i="10"/>
  <c r="G19" i="10" s="1"/>
  <c r="F23" i="10"/>
  <c r="G23" i="10" s="1"/>
  <c r="F25" i="10"/>
  <c r="G25" i="10" s="1"/>
  <c r="F11" i="10"/>
  <c r="G11" i="10" s="1"/>
  <c r="F10" i="10"/>
  <c r="G10" i="10" s="1"/>
  <c r="F21" i="10"/>
  <c r="G21" i="10" s="1"/>
  <c r="F13" i="10"/>
  <c r="G13" i="10" s="1"/>
  <c r="F9" i="10"/>
  <c r="G9" i="10" s="1"/>
  <c r="F15" i="10"/>
  <c r="G15" i="10" s="1"/>
  <c r="F12" i="10"/>
  <c r="G12" i="10" s="1"/>
  <c r="C21" i="10"/>
  <c r="C25" i="10"/>
  <c r="F20" i="10"/>
  <c r="G20" i="10" s="1"/>
  <c r="F8" i="10"/>
  <c r="G8" i="10" s="1"/>
  <c r="F17" i="10"/>
  <c r="G17" i="10" s="1"/>
  <c r="C11" i="10"/>
  <c r="D29" i="9"/>
  <c r="I29" i="9"/>
  <c r="D27" i="11"/>
  <c r="C10" i="10"/>
  <c r="F24" i="10"/>
  <c r="G24" i="10" s="1"/>
  <c r="C13" i="10"/>
  <c r="C27" i="10"/>
  <c r="E29" i="9"/>
  <c r="D19" i="10"/>
  <c r="F16" i="10"/>
  <c r="G16" i="10" s="1"/>
  <c r="F22" i="10"/>
  <c r="G22" i="10" s="1"/>
  <c r="F26" i="10"/>
  <c r="G26" i="10" s="1"/>
  <c r="C28" i="10"/>
  <c r="C20" i="10"/>
  <c r="C24" i="10"/>
  <c r="C22" i="10"/>
  <c r="C18" i="10"/>
  <c r="C26" i="10"/>
  <c r="C14" i="10"/>
  <c r="C8" i="10"/>
  <c r="C16" i="10"/>
  <c r="C23" i="10"/>
  <c r="C9" i="10"/>
  <c r="F14" i="10"/>
  <c r="G14" i="10" s="1"/>
  <c r="C12" i="10"/>
  <c r="C17" i="10"/>
  <c r="D21" i="12" l="1"/>
  <c r="F21" i="12" s="1"/>
  <c r="D14" i="12"/>
  <c r="F14" i="12" s="1"/>
  <c r="D7" i="12"/>
  <c r="F7" i="12"/>
  <c r="D23" i="12"/>
  <c r="F23" i="12" s="1"/>
  <c r="D16" i="12"/>
  <c r="F16" i="12" s="1"/>
  <c r="D19" i="12"/>
  <c r="F19" i="12" s="1"/>
  <c r="D17" i="12"/>
  <c r="F17" i="12" s="1"/>
  <c r="D20" i="12"/>
  <c r="F20" i="12" s="1"/>
  <c r="D12" i="12"/>
  <c r="F12" i="12" s="1"/>
  <c r="D15" i="12"/>
  <c r="F15" i="12" s="1"/>
  <c r="D9" i="12"/>
  <c r="F9" i="12" s="1"/>
  <c r="D8" i="12"/>
  <c r="F8" i="12" s="1"/>
  <c r="D24" i="12"/>
  <c r="F24" i="12" s="1"/>
  <c r="D11" i="12"/>
  <c r="F11" i="12" s="1"/>
  <c r="D25" i="12"/>
  <c r="F25" i="12" s="1"/>
  <c r="D22" i="12"/>
  <c r="F22" i="12" s="1"/>
  <c r="D13" i="12"/>
  <c r="F13" i="12" s="1"/>
  <c r="D18" i="12"/>
  <c r="F18" i="12" s="1"/>
  <c r="D26" i="12"/>
  <c r="F26" i="12" s="1"/>
  <c r="F16" i="9"/>
  <c r="F18" i="9"/>
  <c r="F28" i="9"/>
  <c r="F23" i="9"/>
  <c r="F12" i="9"/>
  <c r="F19" i="9"/>
  <c r="F26" i="9"/>
  <c r="F22" i="9"/>
  <c r="F15" i="9"/>
  <c r="F27" i="9"/>
  <c r="F17" i="9"/>
  <c r="F10" i="9"/>
  <c r="F24" i="9"/>
  <c r="F14" i="9"/>
  <c r="F21" i="9"/>
  <c r="F9" i="9"/>
  <c r="F20" i="9"/>
  <c r="F11" i="9"/>
  <c r="F25" i="9"/>
  <c r="D20" i="10"/>
  <c r="J20" i="10"/>
  <c r="K20" i="10" s="1"/>
  <c r="G28" i="10"/>
  <c r="J15" i="10"/>
  <c r="K15" i="10" s="1"/>
  <c r="D12" i="10"/>
  <c r="J12" i="10"/>
  <c r="K12" i="10" s="1"/>
  <c r="J16" i="10"/>
  <c r="K16" i="10" s="1"/>
  <c r="D16" i="10"/>
  <c r="J18" i="10"/>
  <c r="K18" i="10" s="1"/>
  <c r="D18" i="10"/>
  <c r="J10" i="10"/>
  <c r="K10" i="10" s="1"/>
  <c r="D10" i="10"/>
  <c r="J8" i="10"/>
  <c r="D8" i="10"/>
  <c r="J26" i="10"/>
  <c r="K26" i="10" s="1"/>
  <c r="D26" i="10"/>
  <c r="J27" i="9"/>
  <c r="K27" i="9" s="1"/>
  <c r="J23" i="9"/>
  <c r="K23" i="9" s="1"/>
  <c r="J25" i="9"/>
  <c r="K25" i="9" s="1"/>
  <c r="J21" i="9"/>
  <c r="K21" i="9" s="1"/>
  <c r="J11" i="9"/>
  <c r="K11" i="9" s="1"/>
  <c r="J24" i="9"/>
  <c r="K24" i="9" s="1"/>
  <c r="J10" i="9"/>
  <c r="K10" i="9" s="1"/>
  <c r="J17" i="9"/>
  <c r="K17" i="9" s="1"/>
  <c r="J13" i="9"/>
  <c r="K13" i="9" s="1"/>
  <c r="J22" i="9"/>
  <c r="K22" i="9" s="1"/>
  <c r="J12" i="9"/>
  <c r="K12" i="9" s="1"/>
  <c r="J18" i="9"/>
  <c r="K18" i="9" s="1"/>
  <c r="J15" i="9"/>
  <c r="K15" i="9" s="1"/>
  <c r="J14" i="9"/>
  <c r="K14" i="9" s="1"/>
  <c r="J19" i="9"/>
  <c r="K19" i="9" s="1"/>
  <c r="J28" i="9"/>
  <c r="K28" i="9" s="1"/>
  <c r="J16" i="9"/>
  <c r="K16" i="9" s="1"/>
  <c r="J20" i="9"/>
  <c r="K20" i="9" s="1"/>
  <c r="J26" i="9"/>
  <c r="K26" i="9" s="1"/>
  <c r="D17" i="10"/>
  <c r="J17" i="10"/>
  <c r="K17" i="10" s="1"/>
  <c r="R17" i="10" s="1"/>
  <c r="J22" i="10"/>
  <c r="K22" i="10" s="1"/>
  <c r="D22" i="10"/>
  <c r="C49" i="10"/>
  <c r="I19" i="10"/>
  <c r="H19" i="10"/>
  <c r="J27" i="10"/>
  <c r="K27" i="10" s="1"/>
  <c r="D27" i="10"/>
  <c r="J11" i="10"/>
  <c r="K11" i="10" s="1"/>
  <c r="D11" i="10"/>
  <c r="J25" i="10"/>
  <c r="K25" i="10" s="1"/>
  <c r="D25" i="10"/>
  <c r="J9" i="10"/>
  <c r="K9" i="10" s="1"/>
  <c r="D9" i="10"/>
  <c r="D14" i="10"/>
  <c r="J14" i="10"/>
  <c r="K14" i="10" s="1"/>
  <c r="D24" i="10"/>
  <c r="J24" i="10"/>
  <c r="K24" i="10" s="1"/>
  <c r="J19" i="10"/>
  <c r="K19" i="10" s="1"/>
  <c r="J13" i="10"/>
  <c r="K13" i="10" s="1"/>
  <c r="D13" i="10"/>
  <c r="J9" i="9"/>
  <c r="D21" i="10"/>
  <c r="J21" i="10"/>
  <c r="K21" i="10" s="1"/>
  <c r="F27" i="12"/>
  <c r="G7" i="12" s="1"/>
  <c r="C45" i="10"/>
  <c r="I15" i="10"/>
  <c r="H15" i="10"/>
  <c r="J23" i="10"/>
  <c r="K23" i="10" s="1"/>
  <c r="D23" i="10"/>
  <c r="D27" i="12" l="1"/>
  <c r="F29" i="9"/>
  <c r="I7" i="12"/>
  <c r="H7" i="12"/>
  <c r="R9" i="10"/>
  <c r="M9" i="10"/>
  <c r="T13" i="9"/>
  <c r="N13" i="9"/>
  <c r="O13" i="9" s="1"/>
  <c r="L13" i="9"/>
  <c r="N27" i="9"/>
  <c r="O27" i="9" s="1"/>
  <c r="T27" i="9"/>
  <c r="L27" i="9"/>
  <c r="C42" i="10"/>
  <c r="I12" i="10"/>
  <c r="H12" i="10"/>
  <c r="G27" i="12"/>
  <c r="G13" i="12"/>
  <c r="G23" i="12"/>
  <c r="G17" i="12"/>
  <c r="G9" i="12"/>
  <c r="G25" i="12"/>
  <c r="G21" i="12"/>
  <c r="G8" i="12"/>
  <c r="G19" i="12"/>
  <c r="G15" i="12"/>
  <c r="G14" i="12"/>
  <c r="G10" i="12"/>
  <c r="G16" i="12"/>
  <c r="G20" i="12"/>
  <c r="G18" i="12"/>
  <c r="G12" i="12"/>
  <c r="G26" i="12"/>
  <c r="G24" i="12"/>
  <c r="G11" i="12"/>
  <c r="G22" i="12"/>
  <c r="M14" i="10"/>
  <c r="R14" i="10"/>
  <c r="I25" i="10"/>
  <c r="C55" i="10"/>
  <c r="H25" i="10"/>
  <c r="C57" i="10"/>
  <c r="I27" i="10"/>
  <c r="H27" i="10"/>
  <c r="D49" i="10"/>
  <c r="E49" i="10"/>
  <c r="H17" i="10"/>
  <c r="C47" i="10"/>
  <c r="I17" i="10"/>
  <c r="N28" i="9"/>
  <c r="O28" i="9" s="1"/>
  <c r="T28" i="9"/>
  <c r="L28" i="9"/>
  <c r="N18" i="9"/>
  <c r="O18" i="9" s="1"/>
  <c r="T18" i="9"/>
  <c r="L18" i="9"/>
  <c r="T17" i="9"/>
  <c r="L17" i="9"/>
  <c r="N17" i="9"/>
  <c r="O17" i="9" s="1"/>
  <c r="N21" i="9"/>
  <c r="O21" i="9" s="1"/>
  <c r="T21" i="9"/>
  <c r="L21" i="9"/>
  <c r="M26" i="10"/>
  <c r="R26" i="10"/>
  <c r="C46" i="10"/>
  <c r="H16" i="10"/>
  <c r="I16" i="10"/>
  <c r="R15" i="10"/>
  <c r="M15" i="10"/>
  <c r="R23" i="10"/>
  <c r="M23" i="10"/>
  <c r="K9" i="9"/>
  <c r="J29" i="9"/>
  <c r="C54" i="10"/>
  <c r="H24" i="10"/>
  <c r="I24" i="10"/>
  <c r="R11" i="10"/>
  <c r="M11" i="10"/>
  <c r="T15" i="9"/>
  <c r="N15" i="9"/>
  <c r="O15" i="9" s="1"/>
  <c r="L15" i="9"/>
  <c r="T11" i="9"/>
  <c r="N11" i="9"/>
  <c r="O11" i="9" s="1"/>
  <c r="L11" i="9"/>
  <c r="H26" i="10"/>
  <c r="I26" i="10"/>
  <c r="C56" i="10"/>
  <c r="R21" i="10"/>
  <c r="M21" i="10"/>
  <c r="R19" i="10"/>
  <c r="M19" i="10"/>
  <c r="H14" i="10"/>
  <c r="C44" i="10"/>
  <c r="I14" i="10"/>
  <c r="R25" i="10"/>
  <c r="M25" i="10"/>
  <c r="R27" i="10"/>
  <c r="M27" i="10"/>
  <c r="H22" i="10"/>
  <c r="C52" i="10"/>
  <c r="I22" i="10"/>
  <c r="L26" i="9"/>
  <c r="N26" i="9"/>
  <c r="O26" i="9" s="1"/>
  <c r="T26" i="9"/>
  <c r="T19" i="9"/>
  <c r="N19" i="9"/>
  <c r="O19" i="9" s="1"/>
  <c r="L19" i="9"/>
  <c r="L12" i="9"/>
  <c r="T12" i="9"/>
  <c r="N12" i="9"/>
  <c r="O12" i="9" s="1"/>
  <c r="L10" i="9"/>
  <c r="T10" i="9"/>
  <c r="N10" i="9"/>
  <c r="O10" i="9" s="1"/>
  <c r="N25" i="9"/>
  <c r="O25" i="9" s="1"/>
  <c r="T25" i="9"/>
  <c r="L25" i="9"/>
  <c r="C38" i="10"/>
  <c r="D28" i="10"/>
  <c r="C58" i="10" s="1"/>
  <c r="D58" i="10" s="1"/>
  <c r="H8" i="10"/>
  <c r="I8" i="10"/>
  <c r="I28" i="10" s="1"/>
  <c r="I10" i="10"/>
  <c r="C40" i="10"/>
  <c r="H10" i="10"/>
  <c r="M16" i="10"/>
  <c r="R16" i="10"/>
  <c r="C53" i="10"/>
  <c r="I23" i="10"/>
  <c r="H23" i="10"/>
  <c r="D45" i="10"/>
  <c r="E45" i="10"/>
  <c r="I21" i="10"/>
  <c r="C51" i="10"/>
  <c r="H21" i="10"/>
  <c r="C43" i="10"/>
  <c r="I13" i="10"/>
  <c r="H13" i="10"/>
  <c r="M24" i="10"/>
  <c r="R24" i="10"/>
  <c r="C39" i="10"/>
  <c r="I9" i="10"/>
  <c r="H9" i="10"/>
  <c r="C41" i="10"/>
  <c r="I11" i="10"/>
  <c r="H11" i="10"/>
  <c r="M22" i="10"/>
  <c r="R22" i="10"/>
  <c r="N20" i="9"/>
  <c r="O20" i="9" s="1"/>
  <c r="T20" i="9"/>
  <c r="L20" i="9"/>
  <c r="T14" i="9"/>
  <c r="L14" i="9"/>
  <c r="N14" i="9"/>
  <c r="O14" i="9" s="1"/>
  <c r="N22" i="9"/>
  <c r="O22" i="9" s="1"/>
  <c r="T22" i="9"/>
  <c r="L22" i="9"/>
  <c r="N24" i="9"/>
  <c r="O24" i="9" s="1"/>
  <c r="T24" i="9"/>
  <c r="L24" i="9"/>
  <c r="T23" i="9"/>
  <c r="L23" i="9"/>
  <c r="N23" i="9"/>
  <c r="O23" i="9" s="1"/>
  <c r="J28" i="10"/>
  <c r="K28" i="10" s="1"/>
  <c r="K8" i="10"/>
  <c r="R10" i="10"/>
  <c r="M10" i="10"/>
  <c r="H18" i="10"/>
  <c r="I18" i="10"/>
  <c r="C48" i="10"/>
  <c r="R12" i="10"/>
  <c r="M12" i="10"/>
  <c r="M20" i="10"/>
  <c r="R20" i="10"/>
  <c r="R13" i="10"/>
  <c r="M13" i="10"/>
  <c r="T16" i="9"/>
  <c r="N16" i="9"/>
  <c r="O16" i="9" s="1"/>
  <c r="L16" i="9"/>
  <c r="M18" i="10"/>
  <c r="R18" i="10"/>
  <c r="C50" i="10"/>
  <c r="H20" i="10"/>
  <c r="I20" i="10"/>
  <c r="F49" i="10" l="1"/>
  <c r="M24" i="9"/>
  <c r="D41" i="10"/>
  <c r="E41" i="10"/>
  <c r="D43" i="10"/>
  <c r="E43" i="10"/>
  <c r="D53" i="10"/>
  <c r="E53" i="10"/>
  <c r="H28" i="10"/>
  <c r="M10" i="9"/>
  <c r="M19" i="9"/>
  <c r="E56" i="10"/>
  <c r="D56" i="10"/>
  <c r="M18" i="9"/>
  <c r="I11" i="12"/>
  <c r="K11" i="12" s="1"/>
  <c r="H11" i="12"/>
  <c r="I18" i="12"/>
  <c r="K18" i="12" s="1"/>
  <c r="H18" i="12"/>
  <c r="I14" i="12"/>
  <c r="K14" i="12" s="1"/>
  <c r="H14" i="12"/>
  <c r="H21" i="12"/>
  <c r="I21" i="12"/>
  <c r="K21" i="12" s="1"/>
  <c r="I23" i="12"/>
  <c r="K23" i="12" s="1"/>
  <c r="H23" i="12"/>
  <c r="M14" i="9"/>
  <c r="M16" i="9"/>
  <c r="M20" i="9"/>
  <c r="F45" i="10"/>
  <c r="E40" i="10"/>
  <c r="D40" i="10"/>
  <c r="M26" i="9"/>
  <c r="D54" i="10"/>
  <c r="E54" i="10"/>
  <c r="D57" i="10"/>
  <c r="E57" i="10"/>
  <c r="I24" i="12"/>
  <c r="K24" i="12" s="1"/>
  <c r="H24" i="12"/>
  <c r="I20" i="12"/>
  <c r="K20" i="12" s="1"/>
  <c r="H20" i="12"/>
  <c r="I15" i="12"/>
  <c r="K15" i="12" s="1"/>
  <c r="H15" i="12"/>
  <c r="H25" i="12"/>
  <c r="I25" i="12"/>
  <c r="K25" i="12" s="1"/>
  <c r="H13" i="12"/>
  <c r="I13" i="12"/>
  <c r="K13" i="12" s="1"/>
  <c r="D42" i="10"/>
  <c r="E42" i="10"/>
  <c r="M13" i="9"/>
  <c r="R8" i="10"/>
  <c r="R28" i="10" s="1"/>
  <c r="M8" i="10"/>
  <c r="M28" i="10" s="1"/>
  <c r="D39" i="10"/>
  <c r="E39" i="10"/>
  <c r="D50" i="10"/>
  <c r="E50" i="10"/>
  <c r="E48" i="10"/>
  <c r="D48" i="10"/>
  <c r="M23" i="9"/>
  <c r="D51" i="10"/>
  <c r="E51" i="10"/>
  <c r="D38" i="10"/>
  <c r="E38" i="10"/>
  <c r="E58" i="10" s="1"/>
  <c r="E44" i="10"/>
  <c r="D44" i="10"/>
  <c r="M15" i="9"/>
  <c r="D46" i="10"/>
  <c r="E46" i="10"/>
  <c r="M21" i="9"/>
  <c r="M17" i="9"/>
  <c r="I26" i="12"/>
  <c r="K26" i="12" s="1"/>
  <c r="H26" i="12"/>
  <c r="I16" i="12"/>
  <c r="K16" i="12" s="1"/>
  <c r="H16" i="12"/>
  <c r="I19" i="12"/>
  <c r="K19" i="12" s="1"/>
  <c r="H19" i="12"/>
  <c r="H9" i="12"/>
  <c r="I9" i="12"/>
  <c r="K9" i="12" s="1"/>
  <c r="M27" i="9"/>
  <c r="M22" i="9"/>
  <c r="M25" i="9"/>
  <c r="M12" i="9"/>
  <c r="E52" i="10"/>
  <c r="D52" i="10"/>
  <c r="M11" i="9"/>
  <c r="K29" i="9"/>
  <c r="T29" i="9" s="1"/>
  <c r="T9" i="9"/>
  <c r="L9" i="9"/>
  <c r="N9" i="9"/>
  <c r="M28" i="9"/>
  <c r="D47" i="10"/>
  <c r="E47" i="10"/>
  <c r="D55" i="10"/>
  <c r="E55" i="10"/>
  <c r="I22" i="12"/>
  <c r="K22" i="12" s="1"/>
  <c r="H22" i="12"/>
  <c r="I12" i="12"/>
  <c r="K12" i="12" s="1"/>
  <c r="H12" i="12"/>
  <c r="I10" i="12"/>
  <c r="K10" i="12" s="1"/>
  <c r="H10" i="12"/>
  <c r="I8" i="12"/>
  <c r="K8" i="12" s="1"/>
  <c r="H8" i="12"/>
  <c r="H17" i="12"/>
  <c r="I17" i="12"/>
  <c r="K17" i="12" s="1"/>
  <c r="K7" i="12"/>
  <c r="K27" i="12" l="1"/>
  <c r="F42" i="10"/>
  <c r="F57" i="10"/>
  <c r="F50" i="10"/>
  <c r="F38" i="10"/>
  <c r="F54" i="10"/>
  <c r="F55" i="10"/>
  <c r="F44" i="10"/>
  <c r="F53" i="10"/>
  <c r="F41" i="10"/>
  <c r="F52" i="10"/>
  <c r="F40" i="10"/>
  <c r="O9" i="9"/>
  <c r="N29" i="9"/>
  <c r="F46" i="10"/>
  <c r="F39" i="10"/>
  <c r="F47" i="10"/>
  <c r="L29" i="9"/>
  <c r="M29" i="9" s="1"/>
  <c r="M9" i="9"/>
  <c r="F51" i="10"/>
  <c r="F43" i="10"/>
  <c r="I27" i="12"/>
  <c r="F48" i="10"/>
  <c r="F56" i="10"/>
  <c r="K11" i="6"/>
  <c r="C11" i="8" s="1"/>
  <c r="K10" i="6"/>
  <c r="C10" i="8" s="1"/>
  <c r="K13" i="6"/>
  <c r="C13" i="8" s="1"/>
  <c r="K16" i="6"/>
  <c r="C16" i="8" s="1"/>
  <c r="K17" i="6"/>
  <c r="C17" i="8" s="1"/>
  <c r="K19" i="6"/>
  <c r="C19" i="8" s="1"/>
  <c r="K20" i="6"/>
  <c r="C20" i="8" s="1"/>
  <c r="K21" i="6"/>
  <c r="C21" i="8" s="1"/>
  <c r="K23" i="6"/>
  <c r="C23" i="8" s="1"/>
  <c r="K24" i="6"/>
  <c r="C24" i="8" s="1"/>
  <c r="K25" i="6"/>
  <c r="C25" i="8" s="1"/>
  <c r="K27" i="6"/>
  <c r="C27" i="8" s="1"/>
  <c r="K28" i="6"/>
  <c r="C28" i="8" s="1"/>
  <c r="K22" i="6"/>
  <c r="C22" i="8" s="1"/>
  <c r="K18" i="6"/>
  <c r="C18" i="8" s="1"/>
  <c r="K14" i="6"/>
  <c r="C14" i="8" s="1"/>
  <c r="K15" i="6"/>
  <c r="C15" i="8" s="1"/>
  <c r="K12" i="6"/>
  <c r="C12" i="8" s="1"/>
  <c r="K26" i="6"/>
  <c r="C26" i="8" s="1"/>
  <c r="O29" i="9" l="1"/>
  <c r="H29" i="6"/>
  <c r="P20" i="9" l="1"/>
  <c r="P23" i="9"/>
  <c r="P12" i="9"/>
  <c r="P14" i="9"/>
  <c r="P18" i="9"/>
  <c r="P11" i="9"/>
  <c r="P22" i="9"/>
  <c r="P19" i="9"/>
  <c r="P10" i="9"/>
  <c r="P26" i="9"/>
  <c r="P21" i="9"/>
  <c r="P17" i="9"/>
  <c r="P16" i="9"/>
  <c r="P15" i="9"/>
  <c r="P13" i="9"/>
  <c r="P27" i="9"/>
  <c r="P25" i="9"/>
  <c r="P28" i="9"/>
  <c r="P24" i="9"/>
  <c r="P9" i="9"/>
  <c r="F29" i="6"/>
  <c r="D29" i="6"/>
  <c r="B29" i="6"/>
  <c r="Q16" i="9" l="1"/>
  <c r="R16" i="9"/>
  <c r="S16" i="9" s="1"/>
  <c r="Q18" i="9"/>
  <c r="R18" i="9"/>
  <c r="S18" i="9" s="1"/>
  <c r="R9" i="9"/>
  <c r="S9" i="9" s="1"/>
  <c r="P29" i="9"/>
  <c r="Q9" i="9"/>
  <c r="Q27" i="9"/>
  <c r="R27" i="9"/>
  <c r="S27" i="9" s="1"/>
  <c r="R17" i="9"/>
  <c r="S17" i="9" s="1"/>
  <c r="Q17" i="9"/>
  <c r="R19" i="9"/>
  <c r="S19" i="9" s="1"/>
  <c r="Q19" i="9"/>
  <c r="R14" i="9"/>
  <c r="S14" i="9" s="1"/>
  <c r="Q14" i="9"/>
  <c r="Q10" i="9"/>
  <c r="R10" i="9"/>
  <c r="S10" i="9" s="1"/>
  <c r="R13" i="9"/>
  <c r="S13" i="9" s="1"/>
  <c r="Q13" i="9"/>
  <c r="Q21" i="9"/>
  <c r="R21" i="9"/>
  <c r="S21" i="9" s="1"/>
  <c r="Q22" i="9"/>
  <c r="R22" i="9"/>
  <c r="S22" i="9" s="1"/>
  <c r="R12" i="9"/>
  <c r="S12" i="9" s="1"/>
  <c r="Q12" i="9"/>
  <c r="Q25" i="9"/>
  <c r="R25" i="9"/>
  <c r="S25" i="9" s="1"/>
  <c r="Q20" i="9"/>
  <c r="R20" i="9"/>
  <c r="S20" i="9" s="1"/>
  <c r="Q24" i="9"/>
  <c r="R24" i="9"/>
  <c r="S24" i="9" s="1"/>
  <c r="Q28" i="9"/>
  <c r="R28" i="9"/>
  <c r="S28" i="9" s="1"/>
  <c r="R15" i="9"/>
  <c r="S15" i="9" s="1"/>
  <c r="Q15" i="9"/>
  <c r="Q26" i="9"/>
  <c r="R26" i="9"/>
  <c r="S26" i="9" s="1"/>
  <c r="Q11" i="9"/>
  <c r="R11" i="9"/>
  <c r="S11" i="9" s="1"/>
  <c r="Q23" i="9"/>
  <c r="R23" i="9"/>
  <c r="S23" i="9" s="1"/>
  <c r="B29" i="5"/>
  <c r="S29" i="9" l="1"/>
  <c r="Q29" i="9"/>
  <c r="K9" i="6" l="1"/>
  <c r="K29" i="6" s="1"/>
  <c r="C9" i="8" l="1"/>
  <c r="J18" i="6"/>
  <c r="J15" i="6"/>
  <c r="J23" i="6"/>
  <c r="J17" i="6"/>
  <c r="J12" i="6"/>
  <c r="J14" i="6"/>
  <c r="J24" i="6"/>
  <c r="J22" i="6"/>
  <c r="J19" i="6"/>
  <c r="J21" i="6"/>
  <c r="J13" i="6"/>
  <c r="J25" i="6"/>
  <c r="J28" i="6"/>
  <c r="J10" i="6"/>
  <c r="J27" i="6"/>
  <c r="J20" i="6"/>
  <c r="J11" i="6"/>
  <c r="J16" i="6"/>
  <c r="J26" i="6"/>
  <c r="J9" i="6"/>
  <c r="C29" i="8" l="1"/>
  <c r="J29" i="6"/>
  <c r="K25" i="5"/>
  <c r="K27" i="5"/>
  <c r="K19" i="5"/>
  <c r="K24" i="5"/>
  <c r="K22" i="5"/>
  <c r="K26" i="5"/>
  <c r="K18" i="5"/>
  <c r="K16" i="5"/>
  <c r="K15" i="5"/>
  <c r="K23" i="5"/>
  <c r="B23" i="8" s="1"/>
  <c r="D23" i="8" s="1"/>
  <c r="K11" i="5"/>
  <c r="K21" i="5"/>
  <c r="K13" i="5"/>
  <c r="B13" i="8" s="1"/>
  <c r="D13" i="8" s="1"/>
  <c r="K17" i="5"/>
  <c r="K10" i="5"/>
  <c r="B10" i="8" s="1"/>
  <c r="D10" i="8" s="1"/>
  <c r="K20" i="5"/>
  <c r="B20" i="8" s="1"/>
  <c r="D20" i="8" s="1"/>
  <c r="K9" i="5"/>
  <c r="K12" i="5"/>
  <c r="B22" i="8" l="1"/>
  <c r="D22" i="8" s="1"/>
  <c r="B9" i="8"/>
  <c r="B17" i="8"/>
  <c r="D17" i="8" s="1"/>
  <c r="B16" i="8"/>
  <c r="D16" i="8" s="1"/>
  <c r="B24" i="8"/>
  <c r="D24" i="8" s="1"/>
  <c r="B26" i="8"/>
  <c r="D26" i="8" s="1"/>
  <c r="B19" i="8"/>
  <c r="D19" i="8" s="1"/>
  <c r="B11" i="8"/>
  <c r="D11" i="8" s="1"/>
  <c r="B15" i="8"/>
  <c r="D15" i="8" s="1"/>
  <c r="B25" i="8"/>
  <c r="D25" i="8" s="1"/>
  <c r="B12" i="8"/>
  <c r="D12" i="8" s="1"/>
  <c r="K28" i="5"/>
  <c r="B27" i="8"/>
  <c r="D27" i="8" s="1"/>
  <c r="B18" i="8"/>
  <c r="D18" i="8" s="1"/>
  <c r="K14" i="5"/>
  <c r="B21" i="8"/>
  <c r="D21" i="8" s="1"/>
  <c r="K29" i="5" l="1"/>
  <c r="J27" i="5" s="1"/>
  <c r="B14" i="8"/>
  <c r="D14" i="8" s="1"/>
  <c r="B28" i="8"/>
  <c r="D28" i="8" s="1"/>
  <c r="D9" i="8"/>
  <c r="J10" i="5" l="1"/>
  <c r="J13" i="5"/>
  <c r="B29" i="8"/>
  <c r="J16" i="5"/>
  <c r="J23" i="5"/>
  <c r="J21" i="5"/>
  <c r="J28" i="5"/>
  <c r="J14" i="5"/>
  <c r="J24" i="5"/>
  <c r="J20" i="5"/>
  <c r="J15" i="5"/>
  <c r="J22" i="5"/>
  <c r="J12" i="5"/>
  <c r="J26" i="5"/>
  <c r="J19" i="5"/>
  <c r="J17" i="5"/>
  <c r="J18" i="5"/>
  <c r="J9" i="5"/>
  <c r="J11" i="5"/>
  <c r="J25" i="5"/>
  <c r="D29" i="8"/>
  <c r="J29" i="5" l="1"/>
</calcChain>
</file>

<file path=xl/sharedStrings.xml><?xml version="1.0" encoding="utf-8"?>
<sst xmlns="http://schemas.openxmlformats.org/spreadsheetml/2006/main" count="483" uniqueCount="242">
  <si>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</si>
  <si>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</si>
  <si>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</si>
  <si>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</si>
  <si>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</si>
  <si>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</si>
  <si>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</si>
  <si>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</si>
  <si>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</si>
  <si>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</si>
  <si>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</si>
  <si>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</si>
  <si>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</si>
  <si>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</si>
  <si>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</si>
  <si>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</si>
  <si>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</si>
  <si>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</si>
  <si>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</si>
  <si>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</si>
  <si>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</si>
  <si>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</si>
  <si>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</si>
  <si>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</si>
  <si>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</si>
  <si>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IMPUESTO ESPECIAL SOBRE PRODUCCION Y SERVICIOS</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</si>
  <si>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</si>
  <si>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</si>
  <si>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</si>
  <si>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</si>
  <si>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</si>
  <si>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</si>
  <si>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</si>
  <si>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</si>
  <si>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</si>
  <si>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</si>
  <si>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</si>
  <si>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FONDO DE FISCALIZACION Y RECAUDACION</t>
  </si>
  <si>
    <t>Las cifras pueden no coincidir debido al redondeo.</t>
  </si>
  <si>
    <t>COEFICIENTE 1</t>
  </si>
  <si>
    <t>COEFICIENTE 2</t>
  </si>
  <si>
    <t>COEFCIENTE 3</t>
  </si>
  <si>
    <t>Total</t>
  </si>
  <si>
    <t>SUMA DE COEFICIENTES  EFECTIVOS  PARA 2018</t>
  </si>
  <si>
    <t>Población</t>
  </si>
  <si>
    <t xml:space="preserve">Coeficiente </t>
  </si>
  <si>
    <t>(8)(7=8/∑8)100</t>
  </si>
  <si>
    <t>Coeficiente</t>
  </si>
  <si>
    <t>Suma de Asignaciones</t>
  </si>
  <si>
    <t>Inversa Proporcional</t>
  </si>
  <si>
    <t>Absoluta</t>
  </si>
  <si>
    <t>Relativa</t>
  </si>
  <si>
    <t>(1)</t>
  </si>
  <si>
    <t>(2)(1=2/∑2)100</t>
  </si>
  <si>
    <t>(3)</t>
  </si>
  <si>
    <t>(4)</t>
  </si>
  <si>
    <t>(5)</t>
  </si>
  <si>
    <t>(6)</t>
  </si>
  <si>
    <t>(7)</t>
  </si>
  <si>
    <t>(8)</t>
  </si>
  <si>
    <t>(9)</t>
  </si>
  <si>
    <t>(10)</t>
  </si>
  <si>
    <t>(11)</t>
  </si>
  <si>
    <t>(12)</t>
  </si>
  <si>
    <t>(13)</t>
  </si>
  <si>
    <t>(15)</t>
  </si>
  <si>
    <t>(16)</t>
  </si>
  <si>
    <t>(17) = (4+10+16)</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</si>
  <si>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</si>
  <si>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</si>
  <si>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</si>
  <si>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</si>
  <si>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</si>
  <si>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</si>
  <si>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</si>
  <si>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</si>
  <si>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</si>
  <si>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</si>
  <si>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</si>
  <si>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</si>
  <si>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</si>
  <si>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</si>
  <si>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</si>
  <si>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</si>
  <si>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</si>
  <si>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</si>
  <si>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</si>
  <si>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</si>
  <si>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</si>
  <si>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Las cifras pueden no coincidir por el redondeo</t>
  </si>
  <si>
    <t>Municipios</t>
  </si>
  <si>
    <t>Distribucion x</t>
  </si>
  <si>
    <t>Total Distribucion</t>
  </si>
  <si>
    <t xml:space="preserve">No. de </t>
  </si>
  <si>
    <t>%</t>
  </si>
  <si>
    <t>del crecimiento</t>
  </si>
  <si>
    <t>35%</t>
  </si>
  <si>
    <t>del F.F.M.</t>
  </si>
  <si>
    <t>(2)</t>
  </si>
  <si>
    <t>(3= 70%/2 x 2)</t>
  </si>
  <si>
    <t>(6=70%/2*5)</t>
  </si>
  <si>
    <t>(7) = (3+6)</t>
  </si>
  <si>
    <t>(13=5+8+11)</t>
  </si>
  <si>
    <t>determinado</t>
  </si>
  <si>
    <t>corregido</t>
  </si>
  <si>
    <t>diferencia</t>
  </si>
  <si>
    <t>PUBLICADO</t>
  </si>
  <si>
    <t>DIFERENCIA</t>
  </si>
  <si>
    <t>PIBLICADO</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</si>
  <si>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</si>
  <si>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</si>
  <si>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</si>
  <si>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</si>
  <si>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</si>
  <si>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</si>
  <si>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</si>
  <si>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</si>
  <si>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</si>
  <si>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</si>
  <si>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(70%)</t>
  </si>
  <si>
    <t>2015 (70%)</t>
  </si>
  <si>
    <t>en 2015</t>
  </si>
  <si>
    <t>2015-2014</t>
  </si>
  <si>
    <t>(6=3+4)</t>
  </si>
  <si>
    <t xml:space="preserve">Recaudacion Predial y Agua </t>
  </si>
  <si>
    <t>Esfuerzo Recaudatorio</t>
  </si>
  <si>
    <t xml:space="preserve">Población </t>
  </si>
  <si>
    <t>Resultado</t>
  </si>
  <si>
    <t xml:space="preserve">Coeficiente de </t>
  </si>
  <si>
    <t xml:space="preserve">Variación por </t>
  </si>
  <si>
    <t xml:space="preserve">Participacion </t>
  </si>
  <si>
    <t>Ultimo Ejercicio</t>
  </si>
  <si>
    <t>(4) = (2*3)</t>
  </si>
  <si>
    <t>(5=(4/∑4)100)</t>
  </si>
  <si>
    <t>modificado</t>
  </si>
  <si>
    <t>Recaudación Federal Participable Aplicable para el Calculo de las Participaciones a los Municipios</t>
  </si>
  <si>
    <t>Mes de:                          Enero             2018</t>
  </si>
  <si>
    <t>CONCEPTO</t>
  </si>
  <si>
    <t>IMPORTE</t>
  </si>
  <si>
    <t xml:space="preserve">Fondo General de Participaciones </t>
  </si>
  <si>
    <t>Fondo General de Participaciones recibido en la Entidad 2018</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</si>
  <si>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</si>
  <si>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</si>
  <si>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</si>
  <si>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</si>
  <si>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Fondo General de Participaciones crecimiento 2017 (3-4)</t>
  </si>
  <si>
    <t>6.1 Primera parte 60% del crecimiento 2018</t>
  </si>
  <si>
    <t>6.2 Segunda parte 30% del crecimiento 2018</t>
  </si>
  <si>
    <t>6.3 Tercera parte 10% del crecimiento 2018</t>
  </si>
  <si>
    <t>Suma (6.1 + 6.2 + 6.3) = (3)</t>
  </si>
  <si>
    <t>Total Fondo General de Participaciones a distribuir en 2015 (3 + 4)</t>
  </si>
  <si>
    <t>Fondo de Fomento Municipal</t>
  </si>
  <si>
    <t>Fondo de Fomento Municipal recibido en la Entidad 2018</t>
  </si>
  <si>
    <t>Fondo de Fomento Municipal base 2014 (recibido y distribuido en el 2014)</t>
  </si>
  <si>
    <t>Crecimiento del Fondo de Fomento Municipal 2018 (1-2)</t>
  </si>
  <si>
    <t>Fondo de Fomento Municipal base de Distribución (3 x 100%)</t>
  </si>
  <si>
    <t>10.1 Primera parte 70% del crecimiento 2018</t>
  </si>
  <si>
    <t>10.2 SEGUNDA PARTE DEL CRECIMIENTO 30%</t>
  </si>
  <si>
    <t>Total Fondo  de Fomento  Municipal</t>
  </si>
  <si>
    <t>Fondo de Fiscalización y Recaudación</t>
  </si>
  <si>
    <t>Fondo de Fiscalizacion recibido en la Entidad 2018</t>
  </si>
  <si>
    <t>Fondo de Fiscalización base 2014 (recibido y distribuido en el 2014)</t>
  </si>
  <si>
    <t>Crecimiento del Fondo de Fiscalizacion en 2018 (9-10)</t>
  </si>
  <si>
    <t>Fondo de Compensacion</t>
  </si>
  <si>
    <t>Fondo de Compensacion recibido en la Entidad 2018</t>
  </si>
  <si>
    <t>Fondo de Fiscalización base 2018(recibido y distribuido en el 2014)</t>
  </si>
  <si>
    <t>Crecimiento del Fondo de Compensación en 2018 (12-13)</t>
  </si>
  <si>
    <t xml:space="preserve">Fondo del Impuesto sobre la Renta </t>
  </si>
  <si>
    <t>Fondo de Impuesto sobre la renta recibido en la Entidad 2018</t>
  </si>
  <si>
    <t>Fondo de Impuesto sobre la renta 2014 (recibido y distribuido en el 2014)</t>
  </si>
  <si>
    <t>Crecimiento del Fondo de ISR 2018 (15-16)</t>
  </si>
  <si>
    <t>Impuesto especial sobre producción y servicios (Tabaco y Alcohol)</t>
  </si>
  <si>
    <t>Impuesto Especial s/Producción y Servicios  recibido en la Entidad 2018</t>
  </si>
  <si>
    <t>Impuesto Especial s/Produccion y Servicios base (2014 (recibido y distribuido en el 2014)</t>
  </si>
  <si>
    <t>Crecimiento del Impuesto Especial s/Producción y Servicios en 2018(18-19)</t>
  </si>
  <si>
    <t>Impuesto especial sobre producción y servicios por Gasolina y Diesel</t>
  </si>
  <si>
    <t>Impuesto Especial s/Producción y Servicios  (G y D)recibido en la Entidad 2018</t>
  </si>
  <si>
    <t>Crecimiento del Impuesto Especial s/Producción y Servicios en 2018 (21-22)</t>
  </si>
  <si>
    <t>Impuesto sobre Automoviles Nuevos ISAN (incluye foco ISAN)</t>
  </si>
  <si>
    <t>Impuesto sobre automóviles nuevos ISAN, recibido en la Entidad 2018</t>
  </si>
  <si>
    <t>Impuesto sobre automoviles nuevos base 2014 (recibido y distribuido en el 2014)</t>
  </si>
  <si>
    <t>Crecimiento del Impuesto sobre Automóviles Nuevos ISAN en 2018(24-25)</t>
  </si>
  <si>
    <t>Impuesto sobre Automoviles Nuevos ISAN</t>
  </si>
  <si>
    <t xml:space="preserve">Impuesto sobre automóviles nuevos ISAN, recibido en la Entidad 2018 </t>
  </si>
  <si>
    <t>Impuesto sobre automoviles</t>
  </si>
  <si>
    <t xml:space="preserve"> Primera parte 60% del crecimiento 2018</t>
  </si>
  <si>
    <t xml:space="preserve"> Segunda parte 30% del crecimiento 2018</t>
  </si>
  <si>
    <t xml:space="preserve"> Tercera parte 10% del crecimiento 2018</t>
  </si>
  <si>
    <t>Suma  (3)</t>
  </si>
  <si>
    <t>Fondo de Compensacion sobre el ISAN</t>
  </si>
  <si>
    <t>Fondo de Compensacion sobre el ISAN, recibido en la Entidad 2018</t>
  </si>
  <si>
    <r>
      <rPr>
        <b/>
        <sz val="11"/>
        <color theme="1"/>
        <rFont val="Arial"/>
        <family val="2"/>
      </rPr>
      <t>Población:</t>
    </r>
    <r>
      <rPr>
        <sz val="11"/>
        <color theme="1"/>
        <rFont val="Arial"/>
        <family val="2"/>
      </rPr>
      <t xml:space="preserve"> Encuesta intercensal 2015.</t>
    </r>
  </si>
  <si>
    <t xml:space="preserve">ACAPONETA </t>
  </si>
  <si>
    <t>BAHÍA DE BANDERAS</t>
  </si>
  <si>
    <t>DEL NAYAR</t>
  </si>
  <si>
    <t>SAN PEDRO LAG.</t>
  </si>
  <si>
    <t>STA. MARIA DEL ORO</t>
  </si>
  <si>
    <t xml:space="preserve"> Encuesta Intercensal  de Población y Vivienda  2015</t>
  </si>
  <si>
    <t>fuente:</t>
  </si>
  <si>
    <t>Encuesta Intercensal 2015 Publicada en el Portal del INEGI 08 de Dic 2015</t>
  </si>
  <si>
    <t>Predial y Agua</t>
  </si>
  <si>
    <t xml:space="preserve"> Rec. de Predial y Agua</t>
  </si>
  <si>
    <t>x Población</t>
  </si>
  <si>
    <t>Distribución</t>
  </si>
  <si>
    <t>Habitantes</t>
  </si>
  <si>
    <t>Efectivo</t>
  </si>
  <si>
    <t>Correspondiente al 60% del Crecimiento</t>
  </si>
  <si>
    <t>Coeficiente de Participación</t>
  </si>
  <si>
    <t>Recaudación del Impuesto Predial y Derechos de Suministro de Agua</t>
  </si>
  <si>
    <t xml:space="preserve">Coeficiente de Partición </t>
  </si>
  <si>
    <t xml:space="preserve">Efectivo </t>
  </si>
  <si>
    <t>Correspondiente al 30% del Crecimiento</t>
  </si>
  <si>
    <t>Porcentaje que representa los Coeficiente C1 Y C2</t>
  </si>
  <si>
    <t>Porcentaje que epresenta la Inversa Proporcional         (14)</t>
  </si>
  <si>
    <t>Coeficiente  Resarcitorio Efectivo       10%</t>
  </si>
  <si>
    <t>Correspondiente al 10% del Crecimiento</t>
  </si>
  <si>
    <t>Intercensal 2015</t>
  </si>
  <si>
    <t>poblacion                                2015</t>
  </si>
  <si>
    <t>PORCENTAJES Y MONTOS DE PARTIPACIONES FEDERALES PROVISIONALES MINISTRADAS A LOS MUNICIPIOS PARA EL EJERCICIO FISCAL 2020</t>
  </si>
  <si>
    <t>PORCENTAJES Y MONTOS DE PARCIPACIONES FEDERALES DEFINITIVAS CORRESPONDIENTES A LOS MUNICIPIOS PARA EL EJERCICIO FISCAL 2020</t>
  </si>
  <si>
    <t>SALDOS DERIVADOS DEL AJUSTE DE PARTICIPACIONES FEDERALES DEL EJERCICIO FISCAL 2020</t>
  </si>
  <si>
    <t>Cálculo de la Distribución del Ajuste Definitivo 2020 del Fondo General de Participaciones</t>
  </si>
  <si>
    <t xml:space="preserve">Cálculo de la Distribución del Ajuste Definitivo 2020 del Fondo de Fomento Municipal </t>
  </si>
  <si>
    <t>Cálculo de la Distribución del Ajuste Definitivo 2020 del Impuesto Especial Sobre Producción y Servicios</t>
  </si>
  <si>
    <t>Factor de Distribucion 2020</t>
  </si>
  <si>
    <t>Distribución Total del Ajuste Definitivo 2020 del IEPS</t>
  </si>
  <si>
    <t>Información Utilizada para la Determinación de los Porcentajes de Distribución de Participaciones</t>
  </si>
  <si>
    <t>Recaudación Predial y Agua ($)</t>
  </si>
  <si>
    <t>Municipio</t>
  </si>
  <si>
    <t>Predial</t>
  </si>
  <si>
    <t>Agua</t>
  </si>
  <si>
    <t>Ajuste Definitivo 2020</t>
  </si>
  <si>
    <t>Total a Distribuir del Ajuste Definitivo 2020</t>
  </si>
  <si>
    <t>Distribución correspondiente al Ajuste Definitivo 2020</t>
  </si>
  <si>
    <t>Distribución del Ajuste Definitivo 2020</t>
  </si>
  <si>
    <t>De conformidad al acuerdo 02/2014 por lo que se expiden los lineamientos para la publicación a que se refiere el artículo 6o. de la Ley de Coordinación Fiscal, numeral III inciso e). La diferencia de FOFIR del cuarto trimestre 2020 se participo en el mes de enero del 2021 . El Tercer Ajuste Cuatrimestral 2020 se participó en el mes de Febrero de 2021.</t>
  </si>
  <si>
    <t xml:space="preserve">De conformidad al acuerdo 02/2014 por lo que se expiden los lineamientos para la publicación a que se refiere el artículo 6o. de la Ley de Coordinación Fiscal, numeral III inciso e). El Ajuste Definitivo 2020 correspondiente al  FGP (+), FFM(+), IEPS(+) y FOFIR (+) se participó en el mes de mayo 2021. </t>
  </si>
  <si>
    <t>De conformidad al Acuedo 02/2014 por lo que se expiden los lineamientos para la apublicación a que se refiere el articulo 6 de la Ley de Coordinación Fiscal, numeral III inciso e). El Tercer Ajuste Cuatrimestral 2020 se partició en el mes de Febrero de 2021, y el Ajuste Definitivo 2020 se participo en el mes de mayo  correspondiente a FGP, FFM , IEPS y FOFIR.</t>
  </si>
  <si>
    <r>
      <rPr>
        <b/>
        <sz val="11"/>
        <color theme="1"/>
        <rFont val="Arial"/>
        <family val="2"/>
      </rPr>
      <t>Fuente:</t>
    </r>
    <r>
      <rPr>
        <sz val="11"/>
        <color theme="1"/>
        <rFont val="Arial"/>
        <family val="2"/>
      </rPr>
      <t xml:space="preserve"> Aviso de pago de participaciones oficio No. 351-A-DGPA-C-2408    UCEF</t>
    </r>
  </si>
  <si>
    <r>
      <rPr>
        <b/>
        <sz val="11"/>
        <color theme="1"/>
        <rFont val="Arial"/>
        <family val="2"/>
      </rPr>
      <t>Fuente:</t>
    </r>
    <r>
      <rPr>
        <sz val="11"/>
        <color theme="1"/>
        <rFont val="Arial"/>
        <family val="2"/>
      </rPr>
      <t xml:space="preserve"> Aviso de pago de participaciones oficio No. 351-A-DGPA-C-2408  UCEF</t>
    </r>
  </si>
  <si>
    <r>
      <rPr>
        <b/>
        <sz val="11"/>
        <color theme="1"/>
        <rFont val="Arial"/>
        <family val="2"/>
      </rPr>
      <t xml:space="preserve">Fuente: </t>
    </r>
    <r>
      <rPr>
        <sz val="11"/>
        <color theme="1"/>
        <rFont val="Arial"/>
        <family val="2"/>
      </rPr>
      <t>Aviso de pago de participaciones Oficio No. 351-A-DGPA-C-2579 UCEF</t>
    </r>
  </si>
  <si>
    <t xml:space="preserve">Cálculo de la Distribución del Ajuste Definitivo 2020 del Fondo de Fiscalización y Recaudación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</si>
</sst>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quot;$&quot;* #,##0.00_-;_-&quot;$&quot;* &quot;-&quot;??_-;_-@_-"/>
    <numFmt numFmtId="164" formatCode="_-[$€-2]* #,##0.00_-;\-[$€-2]* #,##0.00_-;_-[$€-2]* &quot;-&quot;??_-"/>
    <numFmt numFmtId="165" formatCode="#,##0.000000"/>
    <numFmt numFmtId="166" formatCode="0.000000"/>
    <numFmt numFmtId="167" formatCode="#,##0_ ;\-#,##0\ "/>
    <numFmt numFmtId="168" formatCode="#,##0.0000000"/>
    <numFmt numFmtId="169" formatCode="&quot;$&quot;#,##0.00"/>
  </numFmts>
  <fonts count="25" x14ac:knownFonts="1">
    <font>
      <sz val="12"/>
      <color theme="1"/>
      <name val="Arial"/>
      <family val="2"/>
    </font>
    <font>
      <sz val="11"/>
      <color theme="1"/>
      <name val="Calibri"/>
      <family val="2"/>
      <scheme val="minor"/>
    </font>
    <font>
      <sz val="10"/>
      <name val="Arial"/>
      <family val="2"/>
    </font>
    <font>
      <sz val="10"/>
      <name val="Arial"/>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b/>
      <sz val="13"/>
      <name val="Arial"/>
      <family val="2"/>
    </font>
    <font>
      <b/>
      <sz val="12"/>
      <name val="Arial"/>
      <family val="2"/>
    </font>
    <font>
      <b/>
      <sz val="11"/>
      <name val="Arial"/>
      <family val="2"/>
    </font>
    <font>
      <sz val="12"/>
      <color theme="1"/>
      <name val="Arial"/>
      <family val="2"/>
    </font>
    <font>
      <b/>
      <sz val="12"/>
      <color theme="1"/>
      <name val="Arial"/>
      <family val="2"/>
    </font>
    <font>
      <b/>
      <sz val="9"/>
      <color theme="1"/>
      <name val="Arial"/>
      <family val="2"/>
    </font>
    <font>
      <sz val="9"/>
      <color theme="1"/>
      <name val="Calibri"/>
      <family val="2"/>
      <scheme val="minor"/>
    </font>
    <font>
      <b/>
      <sz val="9"/>
      <color theme="1"/>
      <name val="Calibri"/>
      <family val="2"/>
      <scheme val="minor"/>
    </font>
    <font>
      <i/>
      <sz val="9"/>
      <color theme="1"/>
      <name val="Arial"/>
      <family val="2"/>
    </font>
    <font>
      <sz val="9"/>
      <color theme="1"/>
      <name val="Arial"/>
      <family val="2"/>
    </font>
    <font>
      <sz val="11"/>
      <color theme="3"/>
      <name val="Arial"/>
      <family val="2"/>
    </font>
    <font>
      <b/>
      <sz val="8"/>
      <color theme="1"/>
      <name val="Arial"/>
      <family val="2"/>
    </font>
    <font>
      <sz val="10"/>
      <color rgb="FF000000"/>
      <name val="Arial"/>
      <family val="2"/>
    </font>
    <font>
      <sz val="11"/>
      <color rgb="FF000000"/>
      <name val="Arial"/>
      <family val="2"/>
    </font>
    <font>
      <b/>
      <sz val="12"/>
      <color rgb="FFFF000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59999389629810485"/>
        <bgColor indexed="64"/>
      </patternFill>
    </fill>
  </fills>
  <borders count="6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s>
  <cellStyleXfs count="11">
    <xf numFmtId="0" fontId="0" fillId="0" borderId="0"/>
    <xf numFmtId="0" fontId="2" fillId="0" borderId="0"/>
    <xf numFmtId="164" fontId="3" fillId="0" borderId="0" applyFont="0" applyFill="0" applyBorder="0" applyAlignment="0" applyProtection="0"/>
    <xf numFmtId="0" fontId="3" fillId="0" borderId="0"/>
    <xf numFmtId="164" fontId="3" fillId="0" borderId="0" applyFont="0" applyFill="0" applyBorder="0" applyAlignment="0" applyProtection="0"/>
    <xf numFmtId="164" fontId="2" fillId="0" borderId="0" applyFont="0" applyFill="0" applyBorder="0" applyAlignment="0" applyProtection="0"/>
    <xf numFmtId="0" fontId="1" fillId="0" borderId="0"/>
    <xf numFmtId="44" fontId="1" fillId="0" borderId="0" applyFont="0" applyFill="0" applyBorder="0" applyAlignment="0" applyProtection="0"/>
    <xf numFmtId="0" fontId="13" fillId="0" borderId="0"/>
    <xf numFmtId="0" fontId="2" fillId="0" borderId="0"/>
    <xf numFmtId="9" fontId="2" fillId="0" borderId="0" applyFont="0" applyFill="0" applyBorder="0" applyAlignment="0" applyProtection="0"/>
  </cellStyleXfs>
  <cellXfs count="443">
    <xf numFmtId="0" fontId="0" fillId="0" borderId="0" xfId="0"/>
    <xf numFmtId="0" fontId="5" fillId="0" borderId="0" xfId="0" applyFont="1"/>
    <xf numFmtId="0" fontId="6" fillId="0" borderId="6" xfId="3" applyFont="1" applyBorder="1" applyAlignment="1">
      <alignment vertical="center"/>
    </xf>
    <xf numFmtId="0" fontId="6" fillId="0" borderId="12" xfId="3" applyFont="1" applyBorder="1" applyAlignment="1">
      <alignment vertical="center"/>
    </xf>
    <xf numFmtId="0" fontId="6" fillId="0" borderId="9" xfId="3" applyFont="1" applyBorder="1" applyAlignment="1">
      <alignment vertical="center"/>
    </xf>
    <xf numFmtId="0" fontId="7" fillId="0" borderId="0" xfId="0" applyFont="1" applyAlignment="1">
      <alignment horizontal="right"/>
    </xf>
    <xf numFmtId="10" fontId="5" fillId="0" borderId="0" xfId="0" applyNumberFormat="1" applyFont="1"/>
    <xf numFmtId="3" fontId="5" fillId="0" borderId="7" xfId="0" applyNumberFormat="1" applyFont="1" applyBorder="1"/>
    <xf numFmtId="3" fontId="5" fillId="0" borderId="2" xfId="0" applyNumberFormat="1" applyFont="1" applyBorder="1"/>
    <xf numFmtId="3" fontId="5" fillId="0" borderId="10" xfId="0" applyNumberFormat="1" applyFont="1" applyBorder="1"/>
    <xf numFmtId="3" fontId="5" fillId="0" borderId="8" xfId="0" applyNumberFormat="1" applyFont="1" applyBorder="1" applyAlignment="1">
      <alignment horizontal="right"/>
    </xf>
    <xf numFmtId="3" fontId="5" fillId="0" borderId="13" xfId="0" applyNumberFormat="1" applyFont="1" applyBorder="1" applyAlignment="1">
      <alignment horizontal="right"/>
    </xf>
    <xf numFmtId="3" fontId="5" fillId="0" borderId="11" xfId="0" applyNumberFormat="1" applyFont="1" applyBorder="1" applyAlignment="1">
      <alignment horizontal="right"/>
    </xf>
    <xf numFmtId="0" fontId="2" fillId="0" borderId="6" xfId="3" applyFont="1" applyBorder="1" applyAlignment="1">
      <alignment vertical="center"/>
    </xf>
    <xf numFmtId="165" fontId="9" fillId="0" borderId="7" xfId="0" applyNumberFormat="1" applyFont="1" applyBorder="1" applyAlignment="1">
      <alignment horizontal="center"/>
    </xf>
    <xf numFmtId="3" fontId="9" fillId="0" borderId="7" xfId="0" applyNumberFormat="1" applyFont="1" applyBorder="1"/>
    <xf numFmtId="165" fontId="9" fillId="0" borderId="7" xfId="0" applyNumberFormat="1" applyFont="1" applyFill="1" applyBorder="1" applyAlignment="1">
      <alignment horizontal="center"/>
    </xf>
    <xf numFmtId="3" fontId="9" fillId="0" borderId="7" xfId="0" applyNumberFormat="1" applyFont="1" applyFill="1" applyBorder="1"/>
    <xf numFmtId="3" fontId="9" fillId="0" borderId="8" xfId="0" applyNumberFormat="1" applyFont="1" applyBorder="1"/>
    <xf numFmtId="0" fontId="2" fillId="0" borderId="12" xfId="3" applyFont="1" applyBorder="1" applyAlignment="1">
      <alignment vertical="center"/>
    </xf>
    <xf numFmtId="165" fontId="9" fillId="0" borderId="2" xfId="0" applyNumberFormat="1" applyFont="1" applyBorder="1" applyAlignment="1">
      <alignment horizontal="center"/>
    </xf>
    <xf numFmtId="3" fontId="9" fillId="0" borderId="2" xfId="0" applyNumberFormat="1" applyFont="1" applyBorder="1"/>
    <xf numFmtId="165" fontId="9" fillId="0" borderId="2" xfId="0" applyNumberFormat="1" applyFont="1" applyFill="1" applyBorder="1" applyAlignment="1">
      <alignment horizontal="center"/>
    </xf>
    <xf numFmtId="3" fontId="9" fillId="0" borderId="2" xfId="0" applyNumberFormat="1" applyFont="1" applyFill="1" applyBorder="1"/>
    <xf numFmtId="3" fontId="9" fillId="0" borderId="13" xfId="0" applyNumberFormat="1" applyFont="1" applyBorder="1"/>
    <xf numFmtId="0" fontId="2" fillId="0" borderId="9" xfId="3" applyFont="1" applyBorder="1" applyAlignment="1">
      <alignment vertical="center"/>
    </xf>
    <xf numFmtId="165" fontId="9" fillId="0" borderId="10" xfId="0" applyNumberFormat="1" applyFont="1" applyBorder="1" applyAlignment="1">
      <alignment horizontal="center"/>
    </xf>
    <xf numFmtId="3" fontId="9" fillId="0" borderId="10" xfId="0" applyNumberFormat="1" applyFont="1" applyBorder="1"/>
    <xf numFmtId="165" fontId="9" fillId="0" borderId="10" xfId="0" applyNumberFormat="1" applyFont="1" applyFill="1" applyBorder="1" applyAlignment="1">
      <alignment horizontal="center"/>
    </xf>
    <xf numFmtId="3" fontId="9" fillId="0" borderId="10" xfId="0" applyNumberFormat="1" applyFont="1" applyFill="1" applyBorder="1"/>
    <xf numFmtId="3" fontId="9" fillId="0" borderId="11" xfId="0" applyNumberFormat="1" applyFont="1" applyBorder="1"/>
    <xf numFmtId="0" fontId="9" fillId="0" borderId="0" xfId="0" applyFont="1"/>
    <xf numFmtId="4" fontId="9" fillId="0" borderId="0" xfId="0" applyNumberFormat="1" applyFont="1"/>
    <xf numFmtId="0" fontId="2" fillId="0" borderId="0" xfId="3" applyFont="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8" xfId="0" applyFont="1" applyFill="1" applyBorder="1" applyAlignment="1">
      <alignment horizontal="center" vertical="center"/>
    </xf>
    <xf numFmtId="0" fontId="8" fillId="0" borderId="3" xfId="0" applyFont="1" applyFill="1" applyBorder="1"/>
    <xf numFmtId="165" fontId="8" fillId="0" borderId="4" xfId="0" applyNumberFormat="1" applyFont="1" applyFill="1" applyBorder="1" applyAlignment="1">
      <alignment horizontal="center"/>
    </xf>
    <xf numFmtId="3" fontId="8" fillId="0" borderId="4" xfId="0" applyNumberFormat="1" applyFont="1" applyFill="1" applyBorder="1" applyAlignment="1">
      <alignment horizontal="center"/>
    </xf>
    <xf numFmtId="3" fontId="8" fillId="0" borderId="5" xfId="0" applyNumberFormat="1" applyFont="1" applyFill="1" applyBorder="1"/>
    <xf numFmtId="0" fontId="7" fillId="0" borderId="3" xfId="0" applyFont="1" applyFill="1" applyBorder="1"/>
    <xf numFmtId="3" fontId="7" fillId="0" borderId="4" xfId="0" applyNumberFormat="1" applyFont="1" applyFill="1" applyBorder="1" applyAlignment="1">
      <alignment horizontal="right"/>
    </xf>
    <xf numFmtId="3" fontId="7" fillId="0" borderId="5" xfId="0" applyNumberFormat="1" applyFont="1" applyFill="1" applyBorder="1" applyAlignment="1">
      <alignment horizontal="right"/>
    </xf>
    <xf numFmtId="0" fontId="5" fillId="0" borderId="0" xfId="6" applyFont="1"/>
    <xf numFmtId="0" fontId="1" fillId="0" borderId="0" xfId="6" applyAlignment="1">
      <alignment horizontal="center"/>
    </xf>
    <xf numFmtId="0" fontId="1" fillId="0" borderId="0" xfId="6"/>
    <xf numFmtId="0" fontId="7" fillId="0" borderId="0" xfId="6" applyFont="1" applyAlignment="1">
      <alignment horizontal="center"/>
    </xf>
    <xf numFmtId="0" fontId="7" fillId="0" borderId="35" xfId="6" applyFont="1" applyBorder="1" applyAlignment="1">
      <alignment horizontal="center" vertical="center" wrapText="1"/>
    </xf>
    <xf numFmtId="0" fontId="15" fillId="0" borderId="31" xfId="6" applyFont="1" applyFill="1" applyBorder="1" applyAlignment="1">
      <alignment horizontal="center"/>
    </xf>
    <xf numFmtId="0" fontId="15" fillId="0" borderId="35" xfId="6" applyFont="1" applyFill="1" applyBorder="1" applyAlignment="1">
      <alignment horizontal="center"/>
    </xf>
    <xf numFmtId="0" fontId="15" fillId="0" borderId="37" xfId="6" applyFont="1" applyFill="1" applyBorder="1" applyAlignment="1">
      <alignment horizontal="center"/>
    </xf>
    <xf numFmtId="0" fontId="15" fillId="0" borderId="39" xfId="6" applyFont="1" applyFill="1" applyBorder="1" applyAlignment="1">
      <alignment horizontal="center"/>
    </xf>
    <xf numFmtId="9" fontId="15" fillId="0" borderId="39" xfId="6" applyNumberFormat="1" applyFont="1" applyFill="1" applyBorder="1" applyAlignment="1">
      <alignment horizontal="center"/>
    </xf>
    <xf numFmtId="3" fontId="15" fillId="0" borderId="37" xfId="6" applyNumberFormat="1" applyFont="1" applyFill="1" applyBorder="1" applyAlignment="1">
      <alignment horizontal="center"/>
    </xf>
    <xf numFmtId="3" fontId="15" fillId="0" borderId="39" xfId="6" applyNumberFormat="1" applyFont="1" applyFill="1" applyBorder="1" applyAlignment="1">
      <alignment horizontal="center"/>
    </xf>
    <xf numFmtId="49" fontId="15" fillId="0" borderId="40" xfId="6" applyNumberFormat="1" applyFont="1" applyFill="1" applyBorder="1" applyAlignment="1">
      <alignment horizontal="center"/>
    </xf>
    <xf numFmtId="49" fontId="15" fillId="0" borderId="43" xfId="6" applyNumberFormat="1" applyFont="1" applyFill="1" applyBorder="1" applyAlignment="1">
      <alignment horizontal="center"/>
    </xf>
    <xf numFmtId="49" fontId="15" fillId="0" borderId="43" xfId="6" applyNumberFormat="1" applyFont="1" applyBorder="1" applyAlignment="1">
      <alignment horizontal="center" vertical="center" wrapText="1"/>
    </xf>
    <xf numFmtId="49" fontId="17" fillId="0" borderId="44" xfId="6" applyNumberFormat="1" applyFont="1" applyFill="1" applyBorder="1" applyAlignment="1">
      <alignment horizontal="center" vertical="center" wrapText="1"/>
    </xf>
    <xf numFmtId="0" fontId="15" fillId="0" borderId="43" xfId="6" applyFont="1" applyBorder="1" applyAlignment="1">
      <alignment vertical="center" wrapText="1"/>
    </xf>
    <xf numFmtId="0" fontId="13" fillId="0" borderId="45" xfId="6" applyFont="1" applyFill="1" applyBorder="1"/>
    <xf numFmtId="3" fontId="13" fillId="0" borderId="27" xfId="6" applyNumberFormat="1" applyFont="1" applyFill="1" applyBorder="1"/>
    <xf numFmtId="166" fontId="13" fillId="0" borderId="28" xfId="6" applyNumberFormat="1" applyFont="1" applyFill="1" applyBorder="1"/>
    <xf numFmtId="165" fontId="13" fillId="0" borderId="28" xfId="6" applyNumberFormat="1" applyFont="1" applyFill="1" applyBorder="1"/>
    <xf numFmtId="167" fontId="13" fillId="0" borderId="21" xfId="6" applyNumberFormat="1" applyFont="1" applyFill="1" applyBorder="1" applyAlignment="1">
      <alignment horizontal="right"/>
    </xf>
    <xf numFmtId="167" fontId="13" fillId="0" borderId="27" xfId="6" applyNumberFormat="1" applyFont="1" applyFill="1" applyBorder="1" applyAlignment="1">
      <alignment horizontal="right"/>
    </xf>
    <xf numFmtId="167" fontId="13" fillId="0" borderId="28" xfId="6" applyNumberFormat="1" applyFont="1" applyFill="1" applyBorder="1" applyAlignment="1">
      <alignment horizontal="right"/>
    </xf>
    <xf numFmtId="3" fontId="13" fillId="0" borderId="21" xfId="6" applyNumberFormat="1" applyFont="1" applyFill="1" applyBorder="1"/>
    <xf numFmtId="167" fontId="13" fillId="0" borderId="46" xfId="6" applyNumberFormat="1" applyFont="1" applyFill="1" applyBorder="1"/>
    <xf numFmtId="3" fontId="13" fillId="0" borderId="29" xfId="6" applyNumberFormat="1" applyFont="1" applyFill="1" applyBorder="1"/>
    <xf numFmtId="167" fontId="13" fillId="0" borderId="47" xfId="6" applyNumberFormat="1" applyFont="1" applyFill="1" applyBorder="1"/>
    <xf numFmtId="165" fontId="1" fillId="0" borderId="36" xfId="6" applyNumberFormat="1" applyFill="1" applyBorder="1"/>
    <xf numFmtId="3" fontId="1" fillId="0" borderId="0" xfId="6" applyNumberFormat="1" applyFill="1"/>
    <xf numFmtId="165" fontId="1" fillId="0" borderId="0" xfId="6" applyNumberFormat="1" applyFill="1"/>
    <xf numFmtId="0" fontId="1" fillId="0" borderId="0" xfId="6" applyFill="1"/>
    <xf numFmtId="166" fontId="13" fillId="0" borderId="2" xfId="6" applyNumberFormat="1" applyFont="1" applyFill="1" applyBorder="1"/>
    <xf numFmtId="167" fontId="13" fillId="0" borderId="36" xfId="6" applyNumberFormat="1" applyFont="1" applyFill="1" applyBorder="1"/>
    <xf numFmtId="0" fontId="13" fillId="0" borderId="48" xfId="6" applyFont="1" applyFill="1" applyBorder="1"/>
    <xf numFmtId="166" fontId="13" fillId="0" borderId="15" xfId="6" applyNumberFormat="1" applyFont="1" applyFill="1" applyBorder="1"/>
    <xf numFmtId="165" fontId="13" fillId="0" borderId="15" xfId="6" applyNumberFormat="1" applyFont="1" applyFill="1" applyBorder="1"/>
    <xf numFmtId="167" fontId="13" fillId="0" borderId="11" xfId="6" applyNumberFormat="1" applyFont="1" applyFill="1" applyBorder="1" applyAlignment="1">
      <alignment horizontal="right"/>
    </xf>
    <xf numFmtId="166" fontId="13" fillId="0" borderId="10" xfId="6" applyNumberFormat="1" applyFont="1" applyFill="1" applyBorder="1"/>
    <xf numFmtId="3" fontId="13" fillId="0" borderId="11" xfId="6" applyNumberFormat="1" applyFont="1" applyFill="1" applyBorder="1"/>
    <xf numFmtId="167" fontId="13" fillId="0" borderId="49" xfId="6" applyNumberFormat="1" applyFont="1" applyFill="1" applyBorder="1"/>
    <xf numFmtId="3" fontId="13" fillId="0" borderId="50" xfId="6" applyNumberFormat="1" applyFont="1" applyFill="1" applyBorder="1"/>
    <xf numFmtId="0" fontId="14" fillId="0" borderId="43" xfId="6" applyFont="1" applyFill="1" applyBorder="1"/>
    <xf numFmtId="3" fontId="14" fillId="0" borderId="50" xfId="6" applyNumberFormat="1" applyFont="1" applyFill="1" applyBorder="1"/>
    <xf numFmtId="166" fontId="14" fillId="0" borderId="19" xfId="6" applyNumberFormat="1" applyFont="1" applyFill="1" applyBorder="1"/>
    <xf numFmtId="167" fontId="14" fillId="0" borderId="43" xfId="6" applyNumberFormat="1" applyFont="1" applyFill="1" applyBorder="1" applyAlignment="1">
      <alignment horizontal="right"/>
    </xf>
    <xf numFmtId="166" fontId="14" fillId="0" borderId="40" xfId="6" applyNumberFormat="1" applyFont="1" applyFill="1" applyBorder="1"/>
    <xf numFmtId="165" fontId="14" fillId="0" borderId="43" xfId="6" applyNumberFormat="1" applyFont="1" applyFill="1" applyBorder="1"/>
    <xf numFmtId="3" fontId="14" fillId="0" borderId="43" xfId="6" applyNumberFormat="1" applyFont="1" applyFill="1" applyBorder="1"/>
    <xf numFmtId="167" fontId="14" fillId="0" borderId="43" xfId="6" applyNumberFormat="1" applyFont="1" applyFill="1" applyBorder="1"/>
    <xf numFmtId="165" fontId="14" fillId="0" borderId="40" xfId="6" applyNumberFormat="1" applyFont="1" applyFill="1" applyBorder="1"/>
    <xf numFmtId="3" fontId="14" fillId="0" borderId="19" xfId="6" applyNumberFormat="1" applyFont="1" applyFill="1" applyBorder="1"/>
    <xf numFmtId="0" fontId="5" fillId="0" borderId="0" xfId="6" applyFont="1" applyBorder="1" applyAlignment="1">
      <alignment horizontal="left" vertical="center"/>
    </xf>
    <xf numFmtId="3" fontId="14" fillId="0" borderId="0" xfId="6" applyNumberFormat="1" applyFont="1" applyFill="1" applyBorder="1"/>
    <xf numFmtId="166" fontId="14" fillId="0" borderId="0" xfId="6" applyNumberFormat="1" applyFont="1" applyFill="1" applyBorder="1"/>
    <xf numFmtId="168" fontId="14" fillId="0" borderId="0" xfId="6" applyNumberFormat="1" applyFont="1" applyFill="1" applyBorder="1"/>
    <xf numFmtId="167" fontId="14" fillId="0" borderId="0" xfId="6" applyNumberFormat="1" applyFont="1" applyFill="1" applyBorder="1" applyAlignment="1">
      <alignment horizontal="right"/>
    </xf>
    <xf numFmtId="165" fontId="14" fillId="0" borderId="0" xfId="6" applyNumberFormat="1" applyFont="1" applyFill="1" applyBorder="1"/>
    <xf numFmtId="167" fontId="14" fillId="0" borderId="0" xfId="6" applyNumberFormat="1" applyFont="1" applyFill="1" applyBorder="1"/>
    <xf numFmtId="0" fontId="5" fillId="0" borderId="0" xfId="6" applyFont="1" applyAlignment="1"/>
    <xf numFmtId="3" fontId="1" fillId="0" borderId="0" xfId="6" applyNumberFormat="1"/>
    <xf numFmtId="0" fontId="7" fillId="0" borderId="53" xfId="6" applyFont="1" applyFill="1" applyBorder="1" applyAlignment="1">
      <alignment wrapText="1"/>
    </xf>
    <xf numFmtId="0" fontId="7" fillId="0" borderId="0" xfId="6" applyFont="1" applyFill="1" applyBorder="1" applyAlignment="1">
      <alignment horizontal="center"/>
    </xf>
    <xf numFmtId="0" fontId="7" fillId="0" borderId="31" xfId="6" applyFont="1" applyFill="1" applyBorder="1" applyAlignment="1">
      <alignment horizontal="center"/>
    </xf>
    <xf numFmtId="0" fontId="7" fillId="0" borderId="35" xfId="6" applyFont="1" applyFill="1" applyBorder="1" applyAlignment="1">
      <alignment horizontal="center" wrapText="1"/>
    </xf>
    <xf numFmtId="0" fontId="7" fillId="0" borderId="35" xfId="6" applyFont="1" applyFill="1" applyBorder="1" applyAlignment="1"/>
    <xf numFmtId="0" fontId="7" fillId="0" borderId="0" xfId="6" applyFont="1" applyFill="1" applyBorder="1" applyAlignment="1"/>
    <xf numFmtId="0" fontId="7" fillId="0" borderId="37" xfId="6" applyFont="1" applyFill="1" applyBorder="1" applyAlignment="1">
      <alignment horizontal="center"/>
    </xf>
    <xf numFmtId="0" fontId="7" fillId="0" borderId="39" xfId="6" applyFont="1" applyFill="1" applyBorder="1" applyAlignment="1">
      <alignment horizontal="center"/>
    </xf>
    <xf numFmtId="9" fontId="7" fillId="0" borderId="0" xfId="6" applyNumberFormat="1" applyFont="1" applyFill="1" applyBorder="1" applyAlignment="1">
      <alignment horizontal="center"/>
    </xf>
    <xf numFmtId="49" fontId="7" fillId="0" borderId="51" xfId="6" applyNumberFormat="1" applyFont="1" applyFill="1" applyBorder="1" applyAlignment="1">
      <alignment horizontal="center"/>
    </xf>
    <xf numFmtId="49" fontId="7" fillId="0" borderId="40" xfId="6" applyNumberFormat="1" applyFont="1" applyFill="1" applyBorder="1" applyAlignment="1">
      <alignment horizontal="center"/>
    </xf>
    <xf numFmtId="49" fontId="7" fillId="0" borderId="47" xfId="6" applyNumberFormat="1" applyFont="1" applyFill="1" applyBorder="1" applyAlignment="1">
      <alignment horizontal="center"/>
    </xf>
    <xf numFmtId="49" fontId="7" fillId="0" borderId="3" xfId="6" applyNumberFormat="1" applyFont="1" applyFill="1" applyBorder="1" applyAlignment="1">
      <alignment horizontal="center"/>
    </xf>
    <xf numFmtId="49" fontId="7" fillId="0" borderId="5" xfId="6" applyNumberFormat="1" applyFont="1" applyFill="1" applyBorder="1" applyAlignment="1">
      <alignment horizontal="center"/>
    </xf>
    <xf numFmtId="49" fontId="7" fillId="0" borderId="49" xfId="6" applyNumberFormat="1" applyFont="1" applyFill="1" applyBorder="1" applyAlignment="1">
      <alignment horizontal="center"/>
    </xf>
    <xf numFmtId="49" fontId="5" fillId="0" borderId="50" xfId="6" applyNumberFormat="1" applyFont="1" applyFill="1" applyBorder="1" applyAlignment="1">
      <alignment horizontal="center"/>
    </xf>
    <xf numFmtId="49" fontId="7" fillId="0" borderId="54" xfId="6" applyNumberFormat="1" applyFont="1" applyFill="1" applyBorder="1" applyAlignment="1">
      <alignment horizontal="center"/>
    </xf>
    <xf numFmtId="49" fontId="7" fillId="0" borderId="30" xfId="6" applyNumberFormat="1" applyFont="1" applyFill="1" applyBorder="1" applyAlignment="1">
      <alignment horizontal="center"/>
    </xf>
    <xf numFmtId="49" fontId="7" fillId="0" borderId="17" xfId="6" applyNumberFormat="1" applyFont="1" applyFill="1" applyBorder="1" applyAlignment="1">
      <alignment horizontal="center"/>
    </xf>
    <xf numFmtId="49" fontId="7" fillId="0" borderId="52" xfId="6" applyNumberFormat="1" applyFont="1" applyFill="1" applyBorder="1" applyAlignment="1">
      <alignment horizontal="center"/>
    </xf>
    <xf numFmtId="0" fontId="4" fillId="0" borderId="0" xfId="6" applyFont="1"/>
    <xf numFmtId="0" fontId="5" fillId="0" borderId="39" xfId="6" applyFont="1" applyFill="1" applyBorder="1"/>
    <xf numFmtId="3" fontId="5" fillId="0" borderId="42" xfId="6" applyNumberFormat="1" applyFont="1" applyFill="1" applyBorder="1"/>
    <xf numFmtId="165" fontId="5" fillId="0" borderId="55" xfId="6" applyNumberFormat="1" applyFont="1" applyFill="1" applyBorder="1"/>
    <xf numFmtId="3" fontId="5" fillId="0" borderId="56" xfId="6" applyNumberFormat="1" applyFont="1" applyFill="1" applyBorder="1"/>
    <xf numFmtId="3" fontId="5" fillId="0" borderId="39" xfId="6" applyNumberFormat="1" applyFont="1" applyFill="1" applyBorder="1"/>
    <xf numFmtId="165" fontId="5" fillId="0" borderId="0" xfId="6" applyNumberFormat="1" applyFont="1" applyFill="1" applyBorder="1"/>
    <xf numFmtId="3" fontId="7" fillId="0" borderId="39" xfId="6" applyNumberFormat="1" applyFont="1" applyFill="1" applyBorder="1"/>
    <xf numFmtId="3" fontId="5" fillId="0" borderId="0" xfId="6" applyNumberFormat="1" applyFont="1" applyFill="1" applyBorder="1"/>
    <xf numFmtId="165" fontId="1" fillId="0" borderId="0" xfId="6" applyNumberFormat="1"/>
    <xf numFmtId="4" fontId="1" fillId="0" borderId="0" xfId="6" applyNumberFormat="1"/>
    <xf numFmtId="165" fontId="4" fillId="0" borderId="0" xfId="6" applyNumberFormat="1" applyFont="1"/>
    <xf numFmtId="3" fontId="7" fillId="0" borderId="0" xfId="6" applyNumberFormat="1" applyFont="1" applyFill="1" applyBorder="1"/>
    <xf numFmtId="4" fontId="1" fillId="0" borderId="0" xfId="6" applyNumberFormat="1" applyFill="1"/>
    <xf numFmtId="0" fontId="4" fillId="0" borderId="0" xfId="6" applyFont="1" applyFill="1"/>
    <xf numFmtId="165" fontId="4" fillId="0" borderId="0" xfId="6" applyNumberFormat="1" applyFont="1" applyFill="1"/>
    <xf numFmtId="0" fontId="5" fillId="0" borderId="43" xfId="6" applyFont="1" applyFill="1" applyBorder="1"/>
    <xf numFmtId="3" fontId="5" fillId="0" borderId="43" xfId="6" applyNumberFormat="1" applyFont="1" applyFill="1" applyBorder="1"/>
    <xf numFmtId="0" fontId="7" fillId="0" borderId="33" xfId="6" applyFont="1" applyFill="1" applyBorder="1"/>
    <xf numFmtId="3" fontId="7" fillId="0" borderId="44" xfId="6" applyNumberFormat="1" applyFont="1" applyFill="1" applyBorder="1"/>
    <xf numFmtId="165" fontId="7" fillId="0" borderId="4" xfId="6" applyNumberFormat="1" applyFont="1" applyFill="1" applyBorder="1"/>
    <xf numFmtId="3" fontId="7" fillId="0" borderId="19" xfId="6" applyNumberFormat="1" applyFont="1" applyFill="1" applyBorder="1"/>
    <xf numFmtId="3" fontId="7" fillId="0" borderId="20" xfId="6" applyNumberFormat="1" applyFont="1" applyFill="1" applyBorder="1"/>
    <xf numFmtId="4" fontId="5" fillId="0" borderId="0" xfId="6" applyNumberFormat="1" applyFont="1" applyFill="1"/>
    <xf numFmtId="4" fontId="5" fillId="0" borderId="0" xfId="6" applyNumberFormat="1" applyFont="1"/>
    <xf numFmtId="169" fontId="1" fillId="0" borderId="0" xfId="6" applyNumberFormat="1" applyFill="1"/>
    <xf numFmtId="0" fontId="7" fillId="0" borderId="1" xfId="6" applyFont="1" applyBorder="1" applyAlignment="1">
      <alignment horizontal="center"/>
    </xf>
    <xf numFmtId="0" fontId="7" fillId="0" borderId="1" xfId="6" applyFont="1" applyBorder="1" applyAlignment="1">
      <alignment horizontal="center" vertical="center"/>
    </xf>
    <xf numFmtId="0" fontId="7" fillId="0" borderId="57" xfId="6" applyFont="1" applyBorder="1" applyAlignment="1">
      <alignment horizontal="center"/>
    </xf>
    <xf numFmtId="0" fontId="7" fillId="0" borderId="57" xfId="6" applyFont="1" applyBorder="1" applyAlignment="1">
      <alignment horizontal="center" vertical="center"/>
    </xf>
    <xf numFmtId="49" fontId="7" fillId="0" borderId="57" xfId="6" applyNumberFormat="1" applyFont="1" applyBorder="1" applyAlignment="1">
      <alignment horizontal="center"/>
    </xf>
    <xf numFmtId="49" fontId="7" fillId="0" borderId="28" xfId="6" applyNumberFormat="1" applyFont="1" applyBorder="1" applyAlignment="1">
      <alignment horizontal="center"/>
    </xf>
    <xf numFmtId="0" fontId="5" fillId="0" borderId="58" xfId="6" applyFont="1" applyBorder="1"/>
    <xf numFmtId="4" fontId="20" fillId="0" borderId="0" xfId="6" applyNumberFormat="1" applyFont="1"/>
    <xf numFmtId="0" fontId="5" fillId="0" borderId="56" xfId="6" applyFont="1" applyBorder="1"/>
    <xf numFmtId="0" fontId="7" fillId="0" borderId="2" xfId="6" applyFont="1" applyBorder="1"/>
    <xf numFmtId="4" fontId="7" fillId="0" borderId="2" xfId="6" applyNumberFormat="1" applyFont="1" applyBorder="1"/>
    <xf numFmtId="2" fontId="7" fillId="0" borderId="2" xfId="6" applyNumberFormat="1" applyFont="1" applyBorder="1"/>
    <xf numFmtId="0" fontId="5" fillId="0" borderId="0" xfId="6" applyFont="1" applyAlignment="1">
      <alignment horizontal="center"/>
    </xf>
    <xf numFmtId="0" fontId="5" fillId="0" borderId="31" xfId="6" applyFont="1" applyBorder="1"/>
    <xf numFmtId="165" fontId="5" fillId="0" borderId="35" xfId="6" applyNumberFormat="1" applyFont="1" applyBorder="1"/>
    <xf numFmtId="3" fontId="5" fillId="0" borderId="35" xfId="6" applyNumberFormat="1" applyFont="1" applyFill="1" applyBorder="1" applyAlignment="1">
      <alignment horizontal="right"/>
    </xf>
    <xf numFmtId="2" fontId="1" fillId="0" borderId="0" xfId="6" applyNumberFormat="1"/>
    <xf numFmtId="0" fontId="5" fillId="0" borderId="37" xfId="6" applyFont="1" applyBorder="1"/>
    <xf numFmtId="165" fontId="5" fillId="0" borderId="39" xfId="6" applyNumberFormat="1" applyFont="1" applyBorder="1"/>
    <xf numFmtId="3" fontId="5" fillId="0" borderId="39" xfId="6" applyNumberFormat="1" applyFont="1" applyFill="1" applyBorder="1" applyAlignment="1">
      <alignment horizontal="right"/>
    </xf>
    <xf numFmtId="0" fontId="5" fillId="0" borderId="40" xfId="6" applyFont="1" applyBorder="1"/>
    <xf numFmtId="165" fontId="5" fillId="0" borderId="43" xfId="6" applyNumberFormat="1" applyFont="1" applyBorder="1"/>
    <xf numFmtId="3" fontId="5" fillId="0" borderId="43" xfId="6" applyNumberFormat="1" applyFont="1" applyFill="1" applyBorder="1" applyAlignment="1">
      <alignment horizontal="right"/>
    </xf>
    <xf numFmtId="0" fontId="5" fillId="0" borderId="0" xfId="6" applyFont="1" applyAlignment="1">
      <alignment vertical="top"/>
    </xf>
    <xf numFmtId="0" fontId="5" fillId="0" borderId="0" xfId="6" applyFont="1" applyFill="1" applyBorder="1"/>
    <xf numFmtId="0" fontId="5" fillId="0" borderId="0" xfId="6" applyFont="1" applyFill="1" applyBorder="1" applyAlignment="1">
      <alignment horizontal="center"/>
    </xf>
    <xf numFmtId="0" fontId="1" fillId="0" borderId="0" xfId="6" applyFill="1" applyBorder="1"/>
    <xf numFmtId="0" fontId="21" fillId="0" borderId="35" xfId="6" applyFont="1" applyFill="1" applyBorder="1" applyAlignment="1">
      <alignment horizontal="center"/>
    </xf>
    <xf numFmtId="0" fontId="21" fillId="0" borderId="59" xfId="6" applyFont="1" applyFill="1" applyBorder="1" applyAlignment="1">
      <alignment horizontal="center"/>
    </xf>
    <xf numFmtId="0" fontId="21" fillId="0" borderId="39" xfId="6" applyFont="1" applyFill="1" applyBorder="1" applyAlignment="1">
      <alignment horizontal="center"/>
    </xf>
    <xf numFmtId="0" fontId="21" fillId="0" borderId="0" xfId="6" applyFont="1" applyFill="1" applyBorder="1" applyAlignment="1">
      <alignment horizontal="center"/>
    </xf>
    <xf numFmtId="49" fontId="21" fillId="0" borderId="39" xfId="6" applyNumberFormat="1" applyFont="1" applyFill="1" applyBorder="1" applyAlignment="1">
      <alignment horizontal="center"/>
    </xf>
    <xf numFmtId="49" fontId="21" fillId="0" borderId="0" xfId="6" applyNumberFormat="1" applyFont="1" applyFill="1" applyBorder="1" applyAlignment="1">
      <alignment horizontal="center"/>
    </xf>
    <xf numFmtId="49" fontId="21" fillId="0" borderId="44" xfId="6" applyNumberFormat="1" applyFont="1" applyFill="1" applyBorder="1" applyAlignment="1">
      <alignment horizontal="center"/>
    </xf>
    <xf numFmtId="0" fontId="21" fillId="0" borderId="43" xfId="6" applyFont="1" applyFill="1" applyBorder="1" applyAlignment="1">
      <alignment horizontal="center"/>
    </xf>
    <xf numFmtId="49" fontId="21" fillId="0" borderId="43" xfId="6" applyNumberFormat="1" applyFont="1" applyFill="1" applyBorder="1" applyAlignment="1">
      <alignment horizontal="center"/>
    </xf>
    <xf numFmtId="49" fontId="21" fillId="2" borderId="42" xfId="6" applyNumberFormat="1" applyFont="1" applyFill="1" applyBorder="1" applyAlignment="1">
      <alignment horizontal="center"/>
    </xf>
    <xf numFmtId="49" fontId="21" fillId="2" borderId="39" xfId="6" applyNumberFormat="1" applyFont="1" applyFill="1" applyBorder="1" applyAlignment="1">
      <alignment horizontal="center"/>
    </xf>
    <xf numFmtId="0" fontId="1" fillId="2" borderId="0" xfId="6" applyFill="1"/>
    <xf numFmtId="0" fontId="5" fillId="0" borderId="35" xfId="6" applyFont="1" applyFill="1" applyBorder="1"/>
    <xf numFmtId="3" fontId="5" fillId="0" borderId="35" xfId="6" applyNumberFormat="1" applyFont="1" applyFill="1" applyBorder="1"/>
    <xf numFmtId="166" fontId="5" fillId="0" borderId="35" xfId="6" applyNumberFormat="1" applyFont="1" applyFill="1" applyBorder="1"/>
    <xf numFmtId="3" fontId="5" fillId="0" borderId="59" xfId="6" applyNumberFormat="1" applyFont="1" applyFill="1" applyBorder="1"/>
    <xf numFmtId="165" fontId="5" fillId="0" borderId="35" xfId="6" applyNumberFormat="1" applyFont="1" applyFill="1" applyBorder="1"/>
    <xf numFmtId="3" fontId="5" fillId="0" borderId="35" xfId="6" applyNumberFormat="1" applyFont="1" applyFill="1" applyBorder="1" applyAlignment="1"/>
    <xf numFmtId="165" fontId="1" fillId="2" borderId="0" xfId="6" applyNumberFormat="1" applyFill="1"/>
    <xf numFmtId="166" fontId="5" fillId="0" borderId="39" xfId="6" applyNumberFormat="1" applyFont="1" applyFill="1" applyBorder="1"/>
    <xf numFmtId="165" fontId="5" fillId="0" borderId="39" xfId="6" applyNumberFormat="1" applyFont="1" applyFill="1" applyBorder="1"/>
    <xf numFmtId="3" fontId="5" fillId="0" borderId="39" xfId="6" applyNumberFormat="1" applyFont="1" applyFill="1" applyBorder="1" applyAlignment="1"/>
    <xf numFmtId="166" fontId="5" fillId="0" borderId="43" xfId="6" applyNumberFormat="1" applyFont="1" applyFill="1" applyBorder="1"/>
    <xf numFmtId="0" fontId="5" fillId="0" borderId="19" xfId="6" applyFont="1" applyFill="1" applyBorder="1"/>
    <xf numFmtId="3" fontId="7" fillId="0" borderId="43" xfId="6" applyNumberFormat="1" applyFont="1" applyFill="1" applyBorder="1"/>
    <xf numFmtId="166" fontId="7" fillId="0" borderId="44" xfId="6" applyNumberFormat="1" applyFont="1" applyFill="1" applyBorder="1"/>
    <xf numFmtId="3" fontId="7" fillId="0" borderId="33" xfId="6" applyNumberFormat="1" applyFont="1" applyFill="1" applyBorder="1"/>
    <xf numFmtId="165" fontId="7" fillId="0" borderId="19" xfId="6" applyNumberFormat="1" applyFont="1" applyFill="1" applyBorder="1"/>
    <xf numFmtId="3" fontId="7" fillId="0" borderId="19" xfId="6" applyNumberFormat="1" applyFont="1" applyFill="1" applyBorder="1" applyAlignment="1"/>
    <xf numFmtId="3" fontId="7" fillId="0" borderId="34" xfId="6" applyNumberFormat="1" applyFont="1" applyFill="1" applyBorder="1" applyAlignment="1"/>
    <xf numFmtId="0" fontId="5" fillId="0" borderId="0" xfId="6" applyFont="1" applyAlignment="1">
      <alignment horizontal="center" vertical="center"/>
    </xf>
    <xf numFmtId="166" fontId="7" fillId="0" borderId="26" xfId="6" applyNumberFormat="1" applyFont="1" applyBorder="1" applyAlignment="1">
      <alignment horizontal="center"/>
    </xf>
    <xf numFmtId="166" fontId="7" fillId="0" borderId="52" xfId="6" applyNumberFormat="1" applyFont="1" applyBorder="1" applyAlignment="1">
      <alignment horizontal="center"/>
    </xf>
    <xf numFmtId="0" fontId="7" fillId="0" borderId="52" xfId="6" applyFont="1" applyBorder="1" applyAlignment="1">
      <alignment horizontal="center"/>
    </xf>
    <xf numFmtId="0" fontId="5" fillId="0" borderId="35" xfId="6" applyFont="1" applyBorder="1" applyAlignment="1">
      <alignment horizontal="center" vertical="center"/>
    </xf>
    <xf numFmtId="44" fontId="5" fillId="0" borderId="59" xfId="7" applyFont="1" applyBorder="1"/>
    <xf numFmtId="166" fontId="5" fillId="0" borderId="59" xfId="6" applyNumberFormat="1" applyFont="1" applyBorder="1"/>
    <xf numFmtId="3" fontId="22" fillId="0" borderId="59" xfId="6" applyNumberFormat="1" applyFont="1" applyBorder="1" applyAlignment="1">
      <alignment horizontal="right" vertical="center" wrapText="1"/>
    </xf>
    <xf numFmtId="0" fontId="1" fillId="0" borderId="38" xfId="6" applyBorder="1"/>
    <xf numFmtId="166" fontId="5" fillId="0" borderId="31" xfId="6" applyNumberFormat="1" applyFont="1" applyBorder="1" applyAlignment="1">
      <alignment horizontal="center"/>
    </xf>
    <xf numFmtId="166" fontId="5" fillId="0" borderId="59" xfId="6" applyNumberFormat="1" applyFont="1" applyBorder="1" applyAlignment="1">
      <alignment horizontal="center"/>
    </xf>
    <xf numFmtId="0" fontId="1" fillId="0" borderId="59" xfId="6" applyBorder="1"/>
    <xf numFmtId="4" fontId="5" fillId="3" borderId="0" xfId="6" applyNumberFormat="1" applyFont="1" applyFill="1" applyBorder="1" applyAlignment="1">
      <alignment horizontal="right"/>
    </xf>
    <xf numFmtId="4" fontId="5" fillId="0" borderId="0" xfId="6" applyNumberFormat="1" applyFont="1" applyFill="1" applyBorder="1" applyAlignment="1">
      <alignment horizontal="right"/>
    </xf>
    <xf numFmtId="10" fontId="1" fillId="4" borderId="0" xfId="6" applyNumberFormat="1" applyFill="1"/>
    <xf numFmtId="10" fontId="1" fillId="0" borderId="0" xfId="6" applyNumberFormat="1" applyFill="1"/>
    <xf numFmtId="0" fontId="5" fillId="0" borderId="39" xfId="6" applyFont="1" applyBorder="1" applyAlignment="1">
      <alignment horizontal="center" vertical="center"/>
    </xf>
    <xf numFmtId="166" fontId="5" fillId="0" borderId="37" xfId="6" applyNumberFormat="1" applyFont="1" applyFill="1" applyBorder="1" applyAlignment="1">
      <alignment horizontal="center"/>
    </xf>
    <xf numFmtId="166" fontId="5" fillId="0" borderId="0" xfId="6" applyNumberFormat="1" applyFont="1" applyFill="1" applyBorder="1" applyAlignment="1">
      <alignment horizontal="center"/>
    </xf>
    <xf numFmtId="4" fontId="1" fillId="4" borderId="0" xfId="6" applyNumberFormat="1" applyFill="1"/>
    <xf numFmtId="0" fontId="5" fillId="0" borderId="0" xfId="6" applyFont="1" applyFill="1" applyBorder="1" applyAlignment="1">
      <alignment horizontal="left"/>
    </xf>
    <xf numFmtId="4" fontId="1" fillId="0" borderId="0" xfId="6" applyNumberFormat="1" applyFill="1" applyAlignment="1">
      <alignment horizontal="right"/>
    </xf>
    <xf numFmtId="0" fontId="5" fillId="0" borderId="37" xfId="6" applyFont="1" applyFill="1" applyBorder="1" applyAlignment="1">
      <alignment horizontal="left"/>
    </xf>
    <xf numFmtId="0" fontId="5" fillId="0" borderId="42" xfId="6" applyFont="1" applyFill="1" applyBorder="1" applyAlignment="1">
      <alignment horizontal="left"/>
    </xf>
    <xf numFmtId="0" fontId="5" fillId="0" borderId="37" xfId="6" applyFont="1" applyFill="1" applyBorder="1" applyAlignment="1">
      <alignment horizontal="right"/>
    </xf>
    <xf numFmtId="0" fontId="5" fillId="0" borderId="0" xfId="6" applyFont="1" applyFill="1" applyBorder="1" applyAlignment="1">
      <alignment horizontal="right"/>
    </xf>
    <xf numFmtId="0" fontId="1" fillId="0" borderId="0" xfId="6" applyFill="1" applyAlignment="1">
      <alignment horizontal="right"/>
    </xf>
    <xf numFmtId="0" fontId="5" fillId="0" borderId="37" xfId="6" applyFont="1" applyBorder="1" applyAlignment="1">
      <alignment horizontal="center" vertical="center"/>
    </xf>
    <xf numFmtId="4" fontId="5" fillId="0" borderId="2" xfId="6" applyNumberFormat="1" applyFont="1" applyFill="1" applyBorder="1" applyAlignment="1">
      <alignment horizontal="right"/>
    </xf>
    <xf numFmtId="4" fontId="5" fillId="0" borderId="13" xfId="6" applyNumberFormat="1" applyFont="1" applyFill="1" applyBorder="1" applyAlignment="1">
      <alignment horizontal="right"/>
    </xf>
    <xf numFmtId="0" fontId="5" fillId="0" borderId="40" xfId="6" applyFont="1" applyBorder="1" applyAlignment="1">
      <alignment horizontal="center" vertical="center"/>
    </xf>
    <xf numFmtId="0" fontId="5" fillId="0" borderId="57" xfId="6" applyFont="1" applyBorder="1" applyAlignment="1">
      <alignment horizontal="center" vertical="center"/>
    </xf>
    <xf numFmtId="0" fontId="5" fillId="0" borderId="24" xfId="6" applyFont="1" applyBorder="1" applyAlignment="1">
      <alignment horizontal="center" vertical="center"/>
    </xf>
    <xf numFmtId="0" fontId="5" fillId="0" borderId="56" xfId="6" applyFont="1" applyFill="1" applyBorder="1" applyAlignment="1">
      <alignment horizontal="right"/>
    </xf>
    <xf numFmtId="0" fontId="5" fillId="0" borderId="2" xfId="6" applyFont="1" applyFill="1" applyBorder="1" applyAlignment="1">
      <alignment horizontal="right"/>
    </xf>
    <xf numFmtId="0" fontId="5" fillId="0" borderId="10" xfId="6" applyFont="1" applyFill="1" applyBorder="1" applyAlignment="1">
      <alignment horizontal="right"/>
    </xf>
    <xf numFmtId="4" fontId="7" fillId="0" borderId="10" xfId="6" applyNumberFormat="1" applyFont="1" applyFill="1" applyBorder="1" applyAlignment="1">
      <alignment horizontal="right"/>
    </xf>
    <xf numFmtId="0" fontId="7" fillId="0" borderId="56" xfId="6" applyFont="1" applyFill="1" applyBorder="1" applyAlignment="1">
      <alignment horizontal="center"/>
    </xf>
    <xf numFmtId="0" fontId="7" fillId="0" borderId="55" xfId="6" applyFont="1" applyFill="1" applyBorder="1" applyAlignment="1">
      <alignment horizontal="center"/>
    </xf>
    <xf numFmtId="4" fontId="5" fillId="0" borderId="56" xfId="6" applyNumberFormat="1" applyFont="1" applyFill="1" applyBorder="1" applyAlignment="1">
      <alignment horizontal="right"/>
    </xf>
    <xf numFmtId="4" fontId="7" fillId="0" borderId="0" xfId="6" applyNumberFormat="1" applyFont="1" applyFill="1" applyBorder="1" applyAlignment="1">
      <alignment horizontal="right"/>
    </xf>
    <xf numFmtId="166" fontId="1" fillId="0" borderId="0" xfId="6" applyNumberFormat="1" applyFill="1"/>
    <xf numFmtId="0" fontId="5" fillId="5" borderId="57" xfId="6" applyFont="1" applyFill="1" applyBorder="1" applyAlignment="1">
      <alignment horizontal="center" vertical="center"/>
    </xf>
    <xf numFmtId="0" fontId="5" fillId="0" borderId="57" xfId="6" applyFont="1" applyFill="1" applyBorder="1" applyAlignment="1">
      <alignment horizontal="center" vertical="center"/>
    </xf>
    <xf numFmtId="0" fontId="5" fillId="0" borderId="56" xfId="6" applyFont="1" applyFill="1" applyBorder="1" applyAlignment="1">
      <alignment horizontal="left"/>
    </xf>
    <xf numFmtId="0" fontId="5" fillId="0" borderId="55" xfId="6" applyFont="1" applyFill="1" applyBorder="1" applyAlignment="1">
      <alignment horizontal="left"/>
    </xf>
    <xf numFmtId="3" fontId="5" fillId="0" borderId="56" xfId="6" applyNumberFormat="1" applyFont="1" applyFill="1" applyBorder="1" applyAlignment="1">
      <alignment horizontal="right"/>
    </xf>
    <xf numFmtId="3" fontId="5" fillId="0" borderId="0" xfId="6" applyNumberFormat="1" applyFont="1" applyFill="1" applyBorder="1" applyAlignment="1">
      <alignment horizontal="right"/>
    </xf>
    <xf numFmtId="0" fontId="5" fillId="0" borderId="2" xfId="6" applyFont="1" applyBorder="1" applyAlignment="1">
      <alignment horizontal="center" vertical="center"/>
    </xf>
    <xf numFmtId="0" fontId="5" fillId="0" borderId="0" xfId="6" applyFont="1" applyFill="1"/>
    <xf numFmtId="0" fontId="5" fillId="0" borderId="0" xfId="6" applyFont="1" applyFill="1" applyAlignment="1">
      <alignment horizontal="center"/>
    </xf>
    <xf numFmtId="0" fontId="5" fillId="0" borderId="39" xfId="6" applyFont="1" applyBorder="1"/>
    <xf numFmtId="3" fontId="5" fillId="0" borderId="35" xfId="6" applyNumberFormat="1" applyFont="1" applyBorder="1"/>
    <xf numFmtId="166" fontId="1" fillId="0" borderId="0" xfId="6" applyNumberFormat="1"/>
    <xf numFmtId="3" fontId="23" fillId="0" borderId="39" xfId="6" applyNumberFormat="1" applyFont="1" applyBorder="1" applyAlignment="1">
      <alignment horizontal="right" vertical="center" wrapText="1"/>
    </xf>
    <xf numFmtId="3" fontId="5" fillId="0" borderId="39" xfId="6" applyNumberFormat="1" applyFont="1" applyBorder="1"/>
    <xf numFmtId="0" fontId="7" fillId="0" borderId="19" xfId="6" applyFont="1" applyBorder="1"/>
    <xf numFmtId="3" fontId="7" fillId="0" borderId="19" xfId="6" applyNumberFormat="1" applyFont="1" applyBorder="1"/>
    <xf numFmtId="165" fontId="7" fillId="0" borderId="19" xfId="6" applyNumberFormat="1" applyFont="1" applyBorder="1"/>
    <xf numFmtId="3" fontId="7" fillId="0" borderId="19" xfId="6" applyNumberFormat="1" applyFont="1" applyFill="1" applyBorder="1" applyAlignment="1">
      <alignment horizontal="right"/>
    </xf>
    <xf numFmtId="0" fontId="7" fillId="0" borderId="0" xfId="6" applyFont="1" applyAlignment="1">
      <alignment horizontal="center"/>
    </xf>
    <xf numFmtId="0" fontId="7" fillId="0" borderId="9" xfId="6" applyFont="1" applyFill="1" applyBorder="1" applyAlignment="1">
      <alignment horizontal="center"/>
    </xf>
    <xf numFmtId="0" fontId="7" fillId="0" borderId="10" xfId="6" applyFont="1" applyFill="1" applyBorder="1" applyAlignment="1">
      <alignment horizontal="center"/>
    </xf>
    <xf numFmtId="0" fontId="7" fillId="0" borderId="11" xfId="6" applyFont="1" applyFill="1" applyBorder="1" applyAlignment="1">
      <alignment horizontal="center"/>
    </xf>
    <xf numFmtId="3" fontId="5" fillId="0" borderId="31" xfId="6" applyNumberFormat="1" applyFont="1" applyFill="1" applyBorder="1"/>
    <xf numFmtId="3" fontId="5" fillId="0" borderId="14" xfId="6" applyNumberFormat="1" applyFont="1" applyFill="1" applyBorder="1"/>
    <xf numFmtId="3" fontId="5" fillId="0" borderId="16" xfId="6" applyNumberFormat="1" applyFont="1" applyFill="1" applyBorder="1"/>
    <xf numFmtId="3" fontId="5" fillId="0" borderId="62" xfId="6" applyNumberFormat="1" applyFont="1" applyFill="1" applyBorder="1"/>
    <xf numFmtId="3" fontId="5" fillId="0" borderId="37" xfId="6" applyNumberFormat="1" applyFont="1" applyFill="1" applyBorder="1"/>
    <xf numFmtId="3" fontId="5" fillId="0" borderId="57" xfId="6" applyNumberFormat="1" applyFont="1" applyFill="1" applyBorder="1"/>
    <xf numFmtId="3" fontId="5" fillId="0" borderId="63" xfId="6" applyNumberFormat="1" applyFont="1" applyFill="1" applyBorder="1"/>
    <xf numFmtId="3" fontId="5" fillId="0" borderId="55" xfId="6" applyNumberFormat="1" applyFont="1" applyFill="1" applyBorder="1"/>
    <xf numFmtId="3" fontId="5" fillId="0" borderId="40" xfId="6" applyNumberFormat="1" applyFont="1" applyFill="1" applyBorder="1"/>
    <xf numFmtId="3" fontId="5" fillId="0" borderId="15" xfId="6" applyNumberFormat="1" applyFont="1" applyFill="1" applyBorder="1"/>
    <xf numFmtId="3" fontId="5" fillId="0" borderId="17" xfId="6" applyNumberFormat="1" applyFont="1" applyFill="1" applyBorder="1"/>
    <xf numFmtId="3" fontId="5" fillId="0" borderId="64" xfId="6" applyNumberFormat="1" applyFont="1" applyFill="1" applyBorder="1"/>
    <xf numFmtId="0" fontId="5" fillId="0" borderId="40" xfId="6" applyFont="1" applyFill="1" applyBorder="1"/>
    <xf numFmtId="3" fontId="5" fillId="0" borderId="30" xfId="6" applyNumberFormat="1" applyFont="1" applyFill="1" applyBorder="1"/>
    <xf numFmtId="165" fontId="7" fillId="0" borderId="33" xfId="6" applyNumberFormat="1" applyFont="1" applyFill="1" applyBorder="1"/>
    <xf numFmtId="0" fontId="5" fillId="0" borderId="0" xfId="0" applyFont="1" applyFill="1"/>
    <xf numFmtId="0" fontId="9" fillId="0" borderId="0" xfId="0" applyFont="1" applyFill="1"/>
    <xf numFmtId="0" fontId="8" fillId="0" borderId="0" xfId="0" applyFont="1" applyFill="1" applyAlignment="1">
      <alignment horizontal="right"/>
    </xf>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xf>
    <xf numFmtId="0" fontId="2" fillId="0" borderId="27" xfId="3" applyFont="1" applyFill="1" applyBorder="1" applyAlignment="1">
      <alignment vertical="center"/>
    </xf>
    <xf numFmtId="165" fontId="9" fillId="0" borderId="28" xfId="0" applyNumberFormat="1" applyFont="1" applyFill="1" applyBorder="1" applyAlignment="1">
      <alignment horizontal="center"/>
    </xf>
    <xf numFmtId="3" fontId="9" fillId="0" borderId="28" xfId="0" applyNumberFormat="1" applyFont="1" applyFill="1" applyBorder="1"/>
    <xf numFmtId="165" fontId="9" fillId="0" borderId="29" xfId="0" applyNumberFormat="1" applyFont="1" applyFill="1" applyBorder="1" applyAlignment="1">
      <alignment horizontal="center"/>
    </xf>
    <xf numFmtId="3" fontId="9" fillId="0" borderId="21" xfId="0" applyNumberFormat="1" applyFont="1" applyFill="1" applyBorder="1"/>
    <xf numFmtId="0" fontId="2" fillId="0" borderId="12" xfId="3" applyFont="1" applyFill="1" applyBorder="1" applyAlignment="1">
      <alignment vertical="center"/>
    </xf>
    <xf numFmtId="3" fontId="9" fillId="0" borderId="13" xfId="0" applyNumberFormat="1" applyFont="1" applyFill="1" applyBorder="1"/>
    <xf numFmtId="0" fontId="2" fillId="0" borderId="9" xfId="3" applyFont="1" applyFill="1" applyBorder="1" applyAlignment="1">
      <alignment vertical="center"/>
    </xf>
    <xf numFmtId="3" fontId="9" fillId="0" borderId="18" xfId="0" applyNumberFormat="1" applyFont="1" applyFill="1" applyBorder="1"/>
    <xf numFmtId="3" fontId="8" fillId="0" borderId="4" xfId="0" applyNumberFormat="1" applyFont="1" applyFill="1" applyBorder="1" applyAlignment="1">
      <alignment horizontal="right"/>
    </xf>
    <xf numFmtId="165" fontId="8" fillId="0" borderId="20" xfId="0" applyNumberFormat="1" applyFont="1" applyFill="1" applyBorder="1" applyAlignment="1">
      <alignment horizontal="center"/>
    </xf>
    <xf numFmtId="3" fontId="8" fillId="0" borderId="19" xfId="0" applyNumberFormat="1" applyFont="1" applyFill="1" applyBorder="1"/>
    <xf numFmtId="0" fontId="2" fillId="0" borderId="0" xfId="3" applyFont="1" applyFill="1" applyBorder="1" applyAlignment="1">
      <alignment vertical="center"/>
    </xf>
    <xf numFmtId="0" fontId="2" fillId="0" borderId="0" xfId="3" applyFont="1" applyBorder="1" applyAlignment="1">
      <alignment horizontal="left" vertical="justify"/>
    </xf>
    <xf numFmtId="0" fontId="10" fillId="0" borderId="0" xfId="0" applyFont="1" applyAlignment="1">
      <alignment horizontal="center"/>
    </xf>
    <xf numFmtId="0" fontId="11" fillId="0" borderId="0" xfId="0" applyFont="1" applyAlignment="1">
      <alignment horizontal="center"/>
    </xf>
    <xf numFmtId="0" fontId="8" fillId="0" borderId="6"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2" xfId="0" applyFont="1" applyFill="1" applyBorder="1" applyAlignment="1">
      <alignment horizontal="center" vertical="justify"/>
    </xf>
    <xf numFmtId="0" fontId="8" fillId="0" borderId="23" xfId="0" applyFont="1" applyFill="1" applyBorder="1" applyAlignment="1">
      <alignment horizontal="center" vertical="justify"/>
    </xf>
    <xf numFmtId="0" fontId="8" fillId="0" borderId="7" xfId="0" applyFont="1" applyFill="1" applyBorder="1" applyAlignment="1">
      <alignment horizontal="center" vertical="justify"/>
    </xf>
    <xf numFmtId="0" fontId="12" fillId="0" borderId="0" xfId="0" applyFont="1" applyAlignment="1">
      <alignment horizont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7" fillId="0" borderId="0" xfId="0" applyFont="1" applyAlignment="1">
      <alignment horizontal="center" vertical="center"/>
    </xf>
    <xf numFmtId="0" fontId="9" fillId="0" borderId="0" xfId="0" applyFont="1" applyFill="1" applyAlignment="1">
      <alignment horizontal="left" vertical="justify"/>
    </xf>
    <xf numFmtId="0" fontId="10" fillId="0" borderId="0" xfId="0" applyFont="1" applyFill="1" applyAlignment="1">
      <alignment horizontal="center"/>
    </xf>
    <xf numFmtId="0" fontId="11" fillId="0" borderId="0" xfId="0" applyFont="1" applyFill="1" applyAlignment="1">
      <alignment horizontal="center"/>
    </xf>
    <xf numFmtId="0" fontId="12" fillId="0" borderId="0" xfId="0" applyFont="1" applyFill="1" applyAlignment="1">
      <alignment horizontal="center"/>
    </xf>
    <xf numFmtId="0" fontId="8" fillId="0" borderId="30" xfId="0" applyFont="1" applyFill="1" applyBorder="1" applyAlignment="1">
      <alignment horizontal="center" vertical="center"/>
    </xf>
    <xf numFmtId="0" fontId="8" fillId="0" borderId="0" xfId="0" applyFont="1" applyFill="1" applyAlignment="1">
      <alignment horizontal="center" vertical="center"/>
    </xf>
    <xf numFmtId="0" fontId="6" fillId="0" borderId="0" xfId="3" applyFont="1" applyBorder="1" applyAlignment="1">
      <alignment horizontal="justify" vertical="center"/>
    </xf>
    <xf numFmtId="0" fontId="8" fillId="0" borderId="14" xfId="0" applyFont="1" applyFill="1" applyBorder="1" applyAlignment="1">
      <alignment horizontal="center" vertical="justify"/>
    </xf>
    <xf numFmtId="0" fontId="8" fillId="0" borderId="15" xfId="0" applyFont="1" applyFill="1" applyBorder="1" applyAlignment="1">
      <alignment horizontal="center" vertical="justify"/>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19" fillId="0" borderId="0" xfId="6" applyFont="1" applyFill="1" applyAlignment="1">
      <alignment horizontal="left" vertical="center" wrapText="1"/>
    </xf>
    <xf numFmtId="0" fontId="15" fillId="0" borderId="35" xfId="6" applyFont="1" applyFill="1" applyBorder="1" applyAlignment="1">
      <alignment horizontal="center" vertical="center"/>
    </xf>
    <xf numFmtId="0" fontId="15" fillId="0" borderId="39" xfId="6" applyFont="1" applyFill="1" applyBorder="1" applyAlignment="1">
      <alignment horizontal="center" vertical="center"/>
    </xf>
    <xf numFmtId="0" fontId="15" fillId="0" borderId="35" xfId="6" applyFont="1" applyFill="1" applyBorder="1" applyAlignment="1">
      <alignment horizontal="center" vertical="center" wrapText="1"/>
    </xf>
    <xf numFmtId="0" fontId="15" fillId="0" borderId="39" xfId="6" applyFont="1" applyFill="1" applyBorder="1" applyAlignment="1">
      <alignment horizontal="center" vertical="center" wrapText="1"/>
    </xf>
    <xf numFmtId="4" fontId="15" fillId="0" borderId="35" xfId="6" applyNumberFormat="1" applyFont="1" applyFill="1" applyBorder="1" applyAlignment="1">
      <alignment horizontal="center" vertical="center" wrapText="1"/>
    </xf>
    <xf numFmtId="4" fontId="15" fillId="0" borderId="39" xfId="6" applyNumberFormat="1" applyFont="1" applyFill="1" applyBorder="1" applyAlignment="1">
      <alignment horizontal="center" vertical="center" wrapText="1"/>
    </xf>
    <xf numFmtId="0" fontId="16" fillId="0" borderId="39" xfId="6" applyFont="1" applyBorder="1" applyAlignment="1">
      <alignment horizontal="center" vertical="center" wrapText="1"/>
    </xf>
    <xf numFmtId="0" fontId="16" fillId="0" borderId="43" xfId="6" applyFont="1" applyBorder="1" applyAlignment="1">
      <alignment horizontal="center" vertical="center" wrapText="1"/>
    </xf>
    <xf numFmtId="4" fontId="15" fillId="0" borderId="38" xfId="6" applyNumberFormat="1" applyFont="1" applyFill="1" applyBorder="1" applyAlignment="1">
      <alignment horizontal="center" vertical="center" wrapText="1"/>
    </xf>
    <xf numFmtId="0" fontId="16" fillId="0" borderId="42" xfId="6" applyFont="1" applyBorder="1" applyAlignment="1">
      <alignment horizontal="center" vertical="center" wrapText="1"/>
    </xf>
    <xf numFmtId="0" fontId="15" fillId="0" borderId="39" xfId="6" applyFont="1" applyBorder="1" applyAlignment="1">
      <alignment horizontal="center" vertical="center" wrapText="1"/>
    </xf>
    <xf numFmtId="0" fontId="18" fillId="0" borderId="0" xfId="6" applyFont="1" applyFill="1" applyAlignment="1">
      <alignment horizontal="left" vertical="center" wrapText="1"/>
    </xf>
    <xf numFmtId="0" fontId="14" fillId="0" borderId="0" xfId="6" applyFont="1" applyAlignment="1">
      <alignment horizontal="center"/>
    </xf>
    <xf numFmtId="0" fontId="7" fillId="0" borderId="31" xfId="6" applyFont="1" applyBorder="1" applyAlignment="1">
      <alignment horizontal="center" vertical="center" wrapText="1"/>
    </xf>
    <xf numFmtId="0" fontId="7" fillId="0" borderId="37" xfId="6" applyFont="1" applyBorder="1" applyAlignment="1">
      <alignment horizontal="center" vertical="center" wrapText="1"/>
    </xf>
    <xf numFmtId="0" fontId="7" fillId="0" borderId="32" xfId="6" applyFont="1" applyFill="1" applyBorder="1" applyAlignment="1">
      <alignment horizontal="center" vertical="center" wrapText="1"/>
    </xf>
    <xf numFmtId="0" fontId="7" fillId="0" borderId="33" xfId="6" applyFont="1" applyFill="1" applyBorder="1" applyAlignment="1">
      <alignment horizontal="center" vertical="center" wrapText="1"/>
    </xf>
    <xf numFmtId="0" fontId="7" fillId="0" borderId="34" xfId="6" applyFont="1" applyFill="1" applyBorder="1" applyAlignment="1">
      <alignment horizontal="center" vertical="center" wrapText="1"/>
    </xf>
    <xf numFmtId="0" fontId="7" fillId="0" borderId="32" xfId="6" applyFont="1" applyFill="1" applyBorder="1" applyAlignment="1">
      <alignment horizontal="center" vertical="center"/>
    </xf>
    <xf numFmtId="0" fontId="7" fillId="0" borderId="33" xfId="6" applyFont="1" applyFill="1" applyBorder="1" applyAlignment="1">
      <alignment horizontal="center" vertical="center"/>
    </xf>
    <xf numFmtId="0" fontId="7" fillId="0" borderId="34" xfId="6" applyFont="1" applyFill="1" applyBorder="1" applyAlignment="1">
      <alignment horizontal="center" vertical="center"/>
    </xf>
    <xf numFmtId="0" fontId="1" fillId="0" borderId="36" xfId="6" applyBorder="1" applyAlignment="1">
      <alignment horizontal="center" vertical="center" wrapText="1"/>
    </xf>
    <xf numFmtId="2" fontId="15" fillId="0" borderId="31" xfId="6" applyNumberFormat="1" applyFont="1" applyFill="1" applyBorder="1" applyAlignment="1">
      <alignment horizontal="center" vertical="center" wrapText="1"/>
    </xf>
    <xf numFmtId="0" fontId="16" fillId="0" borderId="38" xfId="6" applyFont="1" applyBorder="1" applyAlignment="1">
      <alignment horizontal="center" vertical="center" wrapText="1"/>
    </xf>
    <xf numFmtId="0" fontId="16" fillId="0" borderId="40" xfId="6" applyFont="1" applyBorder="1" applyAlignment="1">
      <alignment horizontal="center" vertical="center" wrapText="1"/>
    </xf>
    <xf numFmtId="0" fontId="16" fillId="0" borderId="41" xfId="6" applyFont="1" applyBorder="1" applyAlignment="1">
      <alignment horizontal="center" vertical="center" wrapText="1"/>
    </xf>
    <xf numFmtId="0" fontId="7" fillId="0" borderId="1" xfId="6" applyFont="1" applyBorder="1" applyAlignment="1">
      <alignment horizontal="center" vertical="center" wrapText="1"/>
    </xf>
    <xf numFmtId="0" fontId="7" fillId="0" borderId="57" xfId="6" applyFont="1" applyBorder="1" applyAlignment="1">
      <alignment horizontal="center" vertical="center" wrapText="1"/>
    </xf>
    <xf numFmtId="0" fontId="7" fillId="0" borderId="28" xfId="6" applyFont="1" applyBorder="1" applyAlignment="1">
      <alignment horizontal="center" vertical="center" wrapText="1"/>
    </xf>
    <xf numFmtId="0" fontId="7" fillId="0" borderId="51" xfId="6" applyFont="1" applyFill="1" applyBorder="1" applyAlignment="1">
      <alignment horizontal="center"/>
    </xf>
    <xf numFmtId="0" fontId="14" fillId="0" borderId="26" xfId="6" applyFont="1" applyFill="1" applyBorder="1" applyAlignment="1">
      <alignment horizontal="center" vertical="center" wrapText="1"/>
    </xf>
    <xf numFmtId="0" fontId="14" fillId="0" borderId="52" xfId="6" applyFont="1" applyFill="1" applyBorder="1" applyAlignment="1">
      <alignment horizontal="center" vertical="center" wrapText="1"/>
    </xf>
    <xf numFmtId="0" fontId="14" fillId="0" borderId="49" xfId="6" applyFont="1" applyFill="1" applyBorder="1" applyAlignment="1">
      <alignment horizontal="center" vertical="center" wrapText="1"/>
    </xf>
    <xf numFmtId="0" fontId="7" fillId="0" borderId="35" xfId="6" applyFont="1" applyFill="1" applyBorder="1" applyAlignment="1">
      <alignment horizontal="center" vertical="center" wrapText="1"/>
    </xf>
    <xf numFmtId="0" fontId="7" fillId="0" borderId="39" xfId="6" applyFont="1" applyFill="1" applyBorder="1" applyAlignment="1">
      <alignment horizontal="center" vertical="center" wrapText="1"/>
    </xf>
    <xf numFmtId="0" fontId="7" fillId="0" borderId="43" xfId="6" applyFont="1" applyFill="1" applyBorder="1" applyAlignment="1">
      <alignment horizontal="center" vertical="center" wrapText="1"/>
    </xf>
    <xf numFmtId="0" fontId="7" fillId="0" borderId="31" xfId="6" applyFont="1" applyFill="1" applyBorder="1" applyAlignment="1">
      <alignment horizontal="center"/>
    </xf>
    <xf numFmtId="0" fontId="7" fillId="0" borderId="38" xfId="6" applyFont="1" applyFill="1" applyBorder="1" applyAlignment="1">
      <alignment horizontal="center"/>
    </xf>
    <xf numFmtId="0" fontId="7" fillId="0" borderId="35" xfId="6" applyFont="1" applyFill="1" applyBorder="1" applyAlignment="1">
      <alignment horizontal="center" wrapText="1"/>
    </xf>
    <xf numFmtId="0" fontId="7" fillId="0" borderId="39" xfId="6" applyFont="1" applyFill="1" applyBorder="1" applyAlignment="1">
      <alignment horizontal="center" wrapText="1"/>
    </xf>
    <xf numFmtId="0" fontId="7" fillId="0" borderId="47" xfId="6" applyFont="1" applyFill="1" applyBorder="1" applyAlignment="1">
      <alignment horizontal="center" wrapText="1"/>
    </xf>
    <xf numFmtId="1" fontId="7" fillId="0" borderId="37" xfId="6" applyNumberFormat="1" applyFont="1" applyFill="1" applyBorder="1" applyAlignment="1">
      <alignment horizontal="center"/>
    </xf>
    <xf numFmtId="1" fontId="7" fillId="0" borderId="42" xfId="6" applyNumberFormat="1" applyFont="1" applyFill="1" applyBorder="1" applyAlignment="1">
      <alignment horizontal="center"/>
    </xf>
    <xf numFmtId="0" fontId="7" fillId="0" borderId="0" xfId="6" applyFont="1" applyBorder="1" applyAlignment="1">
      <alignment horizontal="center" vertical="justify"/>
    </xf>
    <xf numFmtId="0" fontId="7" fillId="0" borderId="35" xfId="6" applyFont="1" applyBorder="1" applyAlignment="1">
      <alignment horizontal="center" vertical="center" wrapText="1"/>
    </xf>
    <xf numFmtId="0" fontId="7" fillId="0" borderId="39" xfId="6" applyFont="1" applyBorder="1" applyAlignment="1">
      <alignment horizontal="center" vertical="center" wrapText="1"/>
    </xf>
    <xf numFmtId="0" fontId="7" fillId="0" borderId="43" xfId="6" applyFont="1" applyBorder="1" applyAlignment="1">
      <alignment horizontal="center" vertical="center" wrapText="1"/>
    </xf>
    <xf numFmtId="0" fontId="1" fillId="0" borderId="39" xfId="6" applyBorder="1" applyAlignment="1">
      <alignment horizontal="center" vertical="center" wrapText="1"/>
    </xf>
    <xf numFmtId="0" fontId="1" fillId="0" borderId="43" xfId="6" applyBorder="1" applyAlignment="1">
      <alignment horizontal="center" vertical="center" wrapText="1"/>
    </xf>
    <xf numFmtId="0" fontId="7" fillId="0" borderId="35" xfId="6" applyFont="1" applyFill="1" applyBorder="1" applyAlignment="1">
      <alignment horizontal="center" vertical="justify"/>
    </xf>
    <xf numFmtId="0" fontId="7" fillId="0" borderId="39" xfId="6" applyFont="1" applyFill="1" applyBorder="1" applyAlignment="1">
      <alignment horizontal="center" vertical="justify"/>
    </xf>
    <xf numFmtId="0" fontId="7" fillId="0" borderId="43" xfId="6" applyFont="1" applyFill="1" applyBorder="1" applyAlignment="1">
      <alignment horizontal="center" vertical="justify"/>
    </xf>
    <xf numFmtId="0" fontId="1" fillId="0" borderId="0" xfId="6" applyAlignment="1">
      <alignment horizontal="right"/>
    </xf>
    <xf numFmtId="0" fontId="7" fillId="0" borderId="0" xfId="6" applyFont="1" applyBorder="1" applyAlignment="1">
      <alignment horizontal="center"/>
    </xf>
    <xf numFmtId="0" fontId="21" fillId="0" borderId="35" xfId="6" applyFont="1" applyFill="1" applyBorder="1" applyAlignment="1">
      <alignment horizontal="center" vertical="center" wrapText="1"/>
    </xf>
    <xf numFmtId="0" fontId="21" fillId="0" borderId="39" xfId="6" applyFont="1" applyFill="1" applyBorder="1" applyAlignment="1">
      <alignment horizontal="center" vertical="center" wrapText="1"/>
    </xf>
    <xf numFmtId="0" fontId="21" fillId="0" borderId="35" xfId="6" applyFont="1" applyFill="1" applyBorder="1" applyAlignment="1">
      <alignment horizontal="center" vertical="justify"/>
    </xf>
    <xf numFmtId="0" fontId="21" fillId="0" borderId="39" xfId="6" applyFont="1" applyFill="1" applyBorder="1" applyAlignment="1">
      <alignment horizontal="center" vertical="justify"/>
    </xf>
    <xf numFmtId="0" fontId="5" fillId="0" borderId="12" xfId="6" applyFont="1" applyFill="1" applyBorder="1" applyAlignment="1">
      <alignment horizontal="left"/>
    </xf>
    <xf numFmtId="0" fontId="5" fillId="0" borderId="2" xfId="6" applyFont="1" applyFill="1" applyBorder="1" applyAlignment="1">
      <alignment horizontal="left"/>
    </xf>
    <xf numFmtId="0" fontId="5" fillId="0" borderId="0" xfId="6" applyFont="1" applyFill="1" applyBorder="1" applyAlignment="1">
      <alignment horizontal="left"/>
    </xf>
    <xf numFmtId="0" fontId="5" fillId="0" borderId="6" xfId="6" applyFont="1" applyFill="1" applyBorder="1" applyAlignment="1">
      <alignment horizontal="left"/>
    </xf>
    <xf numFmtId="0" fontId="5" fillId="0" borderId="7" xfId="6" applyFont="1" applyFill="1" applyBorder="1" applyAlignment="1">
      <alignment horizontal="left"/>
    </xf>
    <xf numFmtId="0" fontId="7" fillId="0" borderId="56" xfId="6" applyFont="1" applyFill="1" applyBorder="1" applyAlignment="1">
      <alignment horizontal="left"/>
    </xf>
    <xf numFmtId="0" fontId="7" fillId="0" borderId="0" xfId="6" applyFont="1" applyFill="1" applyBorder="1" applyAlignment="1">
      <alignment horizontal="left"/>
    </xf>
    <xf numFmtId="0" fontId="7" fillId="0" borderId="55" xfId="6" applyFont="1" applyFill="1" applyBorder="1" applyAlignment="1">
      <alignment horizontal="left"/>
    </xf>
    <xf numFmtId="0" fontId="7" fillId="3" borderId="32" xfId="6" applyFont="1" applyFill="1" applyBorder="1" applyAlignment="1">
      <alignment horizontal="center"/>
    </xf>
    <xf numFmtId="0" fontId="7" fillId="3" borderId="33" xfId="6" applyFont="1" applyFill="1" applyBorder="1" applyAlignment="1">
      <alignment horizontal="center"/>
    </xf>
    <xf numFmtId="0" fontId="7" fillId="0" borderId="25" xfId="6" applyFont="1" applyFill="1" applyBorder="1" applyAlignment="1">
      <alignment horizontal="left"/>
    </xf>
    <xf numFmtId="0" fontId="7" fillId="0" borderId="61" xfId="6" applyFont="1" applyFill="1" applyBorder="1" applyAlignment="1">
      <alignment horizontal="left"/>
    </xf>
    <xf numFmtId="0" fontId="7" fillId="0" borderId="36" xfId="6" applyFont="1" applyFill="1" applyBorder="1" applyAlignment="1">
      <alignment horizontal="left"/>
    </xf>
    <xf numFmtId="0" fontId="7" fillId="0" borderId="25" xfId="6" applyFont="1" applyFill="1" applyBorder="1" applyAlignment="1">
      <alignment horizontal="right"/>
    </xf>
    <xf numFmtId="0" fontId="7" fillId="0" borderId="61" xfId="6" applyFont="1" applyFill="1" applyBorder="1" applyAlignment="1">
      <alignment horizontal="right"/>
    </xf>
    <xf numFmtId="0" fontId="24" fillId="4" borderId="0" xfId="6" applyFont="1" applyFill="1" applyAlignment="1">
      <alignment horizontal="center" vertical="justify"/>
    </xf>
    <xf numFmtId="4" fontId="5" fillId="0" borderId="56" xfId="6" applyNumberFormat="1" applyFont="1" applyFill="1" applyBorder="1" applyAlignment="1">
      <alignment horizontal="right"/>
    </xf>
    <xf numFmtId="4" fontId="5" fillId="0" borderId="0" xfId="6" applyNumberFormat="1" applyFont="1" applyFill="1" applyBorder="1" applyAlignment="1">
      <alignment horizontal="right"/>
    </xf>
    <xf numFmtId="0" fontId="5" fillId="0" borderId="0" xfId="6" applyFont="1" applyFill="1" applyBorder="1" applyAlignment="1">
      <alignment horizontal="right"/>
    </xf>
    <xf numFmtId="9" fontId="5" fillId="0" borderId="2" xfId="6" applyNumberFormat="1" applyFont="1" applyFill="1" applyBorder="1" applyAlignment="1">
      <alignment horizontal="left"/>
    </xf>
    <xf numFmtId="0" fontId="7" fillId="3" borderId="56" xfId="6" applyFont="1" applyFill="1" applyBorder="1" applyAlignment="1">
      <alignment horizontal="center"/>
    </xf>
    <xf numFmtId="0" fontId="7" fillId="3" borderId="0" xfId="6" applyFont="1" applyFill="1" applyBorder="1" applyAlignment="1">
      <alignment horizontal="center"/>
    </xf>
    <xf numFmtId="0" fontId="1" fillId="4" borderId="0" xfId="6" applyFill="1" applyAlignment="1">
      <alignment horizontal="center"/>
    </xf>
    <xf numFmtId="0" fontId="7" fillId="0" borderId="10" xfId="6" applyFont="1" applyFill="1" applyBorder="1" applyAlignment="1">
      <alignment horizontal="left"/>
    </xf>
    <xf numFmtId="4" fontId="5" fillId="3" borderId="56" xfId="6" applyNumberFormat="1" applyFont="1" applyFill="1" applyBorder="1" applyAlignment="1">
      <alignment horizontal="right"/>
    </xf>
    <xf numFmtId="4" fontId="5" fillId="3" borderId="0" xfId="6" applyNumberFormat="1" applyFont="1" applyFill="1" applyBorder="1" applyAlignment="1">
      <alignment horizontal="right"/>
    </xf>
    <xf numFmtId="0" fontId="5" fillId="3" borderId="0" xfId="6" applyFont="1" applyFill="1" applyBorder="1" applyAlignment="1">
      <alignment horizontal="right"/>
    </xf>
    <xf numFmtId="4" fontId="5" fillId="0" borderId="7" xfId="6" applyNumberFormat="1" applyFont="1" applyFill="1" applyBorder="1" applyAlignment="1">
      <alignment horizontal="right"/>
    </xf>
    <xf numFmtId="4" fontId="5" fillId="0" borderId="8" xfId="6" applyNumberFormat="1" applyFont="1" applyFill="1" applyBorder="1" applyAlignment="1">
      <alignment horizontal="right"/>
    </xf>
    <xf numFmtId="4" fontId="5" fillId="0" borderId="2" xfId="6" applyNumberFormat="1" applyFont="1" applyFill="1" applyBorder="1" applyAlignment="1">
      <alignment horizontal="right"/>
    </xf>
    <xf numFmtId="4" fontId="5" fillId="0" borderId="13" xfId="6" applyNumberFormat="1" applyFont="1" applyFill="1" applyBorder="1" applyAlignment="1">
      <alignment horizontal="right"/>
    </xf>
    <xf numFmtId="0" fontId="7" fillId="0" borderId="9" xfId="6" applyFont="1" applyFill="1" applyBorder="1" applyAlignment="1">
      <alignment horizontal="left"/>
    </xf>
    <xf numFmtId="4" fontId="7" fillId="0" borderId="10" xfId="6" applyNumberFormat="1" applyFont="1" applyFill="1" applyBorder="1" applyAlignment="1">
      <alignment horizontal="right"/>
    </xf>
    <xf numFmtId="0" fontId="7" fillId="0" borderId="11" xfId="6" applyFont="1" applyFill="1" applyBorder="1" applyAlignment="1">
      <alignment horizontal="right"/>
    </xf>
    <xf numFmtId="0" fontId="5" fillId="0" borderId="56" xfId="6" applyFont="1" applyFill="1" applyBorder="1" applyAlignment="1">
      <alignment horizontal="right"/>
    </xf>
    <xf numFmtId="0" fontId="5" fillId="0" borderId="37" xfId="6" applyFont="1" applyFill="1" applyBorder="1" applyAlignment="1">
      <alignment horizontal="left"/>
    </xf>
    <xf numFmtId="0" fontId="5" fillId="0" borderId="42" xfId="6" applyFont="1" applyFill="1" applyBorder="1" applyAlignment="1">
      <alignment horizontal="left"/>
    </xf>
    <xf numFmtId="4" fontId="5" fillId="0" borderId="37" xfId="6" applyNumberFormat="1" applyFont="1" applyFill="1" applyBorder="1" applyAlignment="1">
      <alignment horizontal="right"/>
    </xf>
    <xf numFmtId="0" fontId="5" fillId="0" borderId="37" xfId="6" applyFont="1" applyFill="1" applyBorder="1" applyAlignment="1">
      <alignment horizontal="right"/>
    </xf>
    <xf numFmtId="4" fontId="5" fillId="3" borderId="37" xfId="6" applyNumberFormat="1" applyFont="1" applyFill="1" applyBorder="1" applyAlignment="1">
      <alignment horizontal="right"/>
    </xf>
    <xf numFmtId="0" fontId="7" fillId="0" borderId="60" xfId="6" applyFont="1" applyBorder="1" applyAlignment="1">
      <alignment horizontal="center" vertical="center"/>
    </xf>
    <xf numFmtId="0" fontId="7" fillId="0" borderId="53" xfId="6" applyFont="1" applyBorder="1" applyAlignment="1">
      <alignment horizontal="center" vertical="center"/>
    </xf>
    <xf numFmtId="0" fontId="7" fillId="0" borderId="48" xfId="6" applyFont="1" applyBorder="1" applyAlignment="1">
      <alignment horizontal="center"/>
    </xf>
    <xf numFmtId="0" fontId="7" fillId="0" borderId="52" xfId="6" applyFont="1" applyBorder="1" applyAlignment="1">
      <alignment horizontal="center"/>
    </xf>
    <xf numFmtId="0" fontId="7" fillId="0" borderId="49" xfId="6" applyFont="1" applyBorder="1" applyAlignment="1">
      <alignment horizontal="center"/>
    </xf>
    <xf numFmtId="0" fontId="7" fillId="0" borderId="0" xfId="6" applyFont="1" applyAlignment="1">
      <alignment horizontal="center"/>
    </xf>
    <xf numFmtId="0" fontId="4" fillId="0" borderId="0" xfId="6" applyFont="1" applyAlignment="1">
      <alignment horizontal="center"/>
    </xf>
    <xf numFmtId="0" fontId="7" fillId="0" borderId="60" xfId="6" applyFont="1" applyFill="1" applyBorder="1" applyAlignment="1">
      <alignment horizontal="center" vertical="center"/>
    </xf>
    <xf numFmtId="0" fontId="7" fillId="0" borderId="48" xfId="6" applyFont="1" applyFill="1" applyBorder="1" applyAlignment="1">
      <alignment horizontal="center" vertical="center"/>
    </xf>
    <xf numFmtId="0" fontId="7" fillId="0" borderId="6" xfId="6" applyFont="1" applyFill="1" applyBorder="1" applyAlignment="1">
      <alignment horizontal="center"/>
    </xf>
    <xf numFmtId="0" fontId="7" fillId="0" borderId="7" xfId="6" applyFont="1" applyFill="1" applyBorder="1" applyAlignment="1">
      <alignment horizontal="center"/>
    </xf>
    <xf numFmtId="0" fontId="7" fillId="0" borderId="22" xfId="6" applyFont="1" applyFill="1" applyBorder="1" applyAlignment="1">
      <alignment horizontal="center"/>
    </xf>
    <xf numFmtId="0" fontId="7" fillId="0" borderId="8" xfId="6" applyFont="1" applyFill="1" applyBorder="1" applyAlignment="1">
      <alignment horizontal="center"/>
    </xf>
  </cellXfs>
  <cellStyles count="11">
    <cellStyle name="Euro" xfId="2"/>
    <cellStyle name="Euro 2" xfId="4"/>
    <cellStyle name="Euro 3" xfId="5"/>
    <cellStyle name="Moneda 2" xfId="7"/>
    <cellStyle name="Normal" xfId="0" builtinId="0"/>
    <cellStyle name="Normal 2" xfId="3"/>
    <cellStyle name="Normal 2 2" xfId="8"/>
    <cellStyle name="Normal 3" xfId="1"/>
    <cellStyle name="Normal 3 2" xfId="9"/>
    <cellStyle name="Normal 4" xfId="6"/>
    <cellStyle name="Porcentaje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INGCOORD\Desktop\Anselmo%20OK\UCEF%20ANEXO%20VII%202017\Ajustes\03-DATOS%20E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GP"/>
      <sheetName val="FFM"/>
      <sheetName val="IEPS TyA"/>
      <sheetName val="FOFIR"/>
      <sheetName val="Datos"/>
      <sheetName val="CENSO (2)"/>
      <sheetName val="LEY DE INGRESOS"/>
      <sheetName val="Inicio"/>
      <sheetName val="1. Relleno"/>
      <sheetName val="2. Analizar"/>
      <sheetName val="3. Gráfico"/>
    </sheetNames>
    <sheetDataSet>
      <sheetData sheetId="0"/>
      <sheetData sheetId="1"/>
      <sheetData sheetId="2"/>
      <sheetData sheetId="3"/>
      <sheetData sheetId="4"/>
      <sheetData sheetId="5"/>
      <sheetData sheetId="6">
        <row r="13">
          <cell r="C13">
            <v>45920944</v>
          </cell>
        </row>
      </sheetData>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K32"/>
  <sheetViews>
    <sheetView tabSelected="1" zoomScale="95" zoomScaleNormal="95" workbookViewId="0">
      <selection activeCell="A5" sqref="A5:K5"/>
    </sheetView>
  </sheetViews>
  <sheetFormatPr baseColWidth="10" defaultRowHeight="14.25" x14ac:dyDescent="0.2"/>
  <cols>
    <col min="1" max="1" width="19.44140625" style="1" customWidth="1"/>
    <col min="2" max="2" width="10.33203125" style="1" bestFit="1" customWidth="1"/>
    <col min="3" max="3" width="10.44140625" style="1" customWidth="1"/>
    <col min="4" max="4" width="11.44140625" style="1" customWidth="1"/>
    <col min="5" max="5" width="10.109375" style="1" customWidth="1"/>
    <col min="6" max="6" width="10.33203125" style="1" bestFit="1" customWidth="1"/>
    <col min="7" max="7" width="8.33203125" style="1" customWidth="1"/>
    <col min="8" max="8" width="10.33203125" style="1" customWidth="1"/>
    <col min="9" max="9" width="8.33203125" style="1" bestFit="1" customWidth="1"/>
    <col min="10" max="10" width="10.33203125" style="1" bestFit="1" customWidth="1"/>
    <col min="11" max="11" width="12.109375" style="1" bestFit="1" customWidth="1"/>
    <col min="12" max="16384" width="11.5546875" style="1"/>
  </cols>
  <sheetData>
    <row r="1" spans="1:11" ht="16.5" x14ac:dyDescent="0.25">
      <c r="A1" s="307" t="s">
        <v>27</v>
      </c>
      <c r="B1" s="307"/>
      <c r="C1" s="307"/>
      <c r="D1" s="307"/>
      <c r="E1" s="307"/>
      <c r="F1" s="307"/>
      <c r="G1" s="307"/>
      <c r="H1" s="307"/>
      <c r="I1" s="307"/>
      <c r="J1" s="307"/>
      <c r="K1" s="307"/>
    </row>
    <row r="2" spans="1:11" ht="15.75" x14ac:dyDescent="0.25">
      <c r="A2" s="308" t="s">
        <v>28</v>
      </c>
      <c r="B2" s="308"/>
      <c r="C2" s="308"/>
      <c r="D2" s="308"/>
      <c r="E2" s="308"/>
      <c r="F2" s="308"/>
      <c r="G2" s="308"/>
      <c r="H2" s="308"/>
      <c r="I2" s="308"/>
      <c r="J2" s="308"/>
      <c r="K2" s="308"/>
    </row>
    <row r="3" spans="1:11" ht="15" x14ac:dyDescent="0.25">
      <c r="A3" s="314" t="s">
        <v>29</v>
      </c>
      <c r="B3" s="314"/>
      <c r="C3" s="314"/>
      <c r="D3" s="314"/>
      <c r="E3" s="314"/>
      <c r="F3" s="314"/>
      <c r="G3" s="314"/>
      <c r="H3" s="314"/>
      <c r="I3" s="314"/>
      <c r="J3" s="314"/>
      <c r="K3" s="314"/>
    </row>
    <row r="5" spans="1:11" ht="26.25" customHeight="1" x14ac:dyDescent="0.2">
      <c r="A5" s="317" t="s">
        <v>218</v>
      </c>
      <c r="B5" s="317"/>
      <c r="C5" s="317"/>
      <c r="D5" s="317"/>
      <c r="E5" s="317"/>
      <c r="F5" s="317"/>
      <c r="G5" s="317"/>
      <c r="H5" s="317"/>
      <c r="I5" s="317"/>
      <c r="J5" s="317"/>
      <c r="K5" s="317"/>
    </row>
    <row r="6" spans="1:11" ht="15.75" thickBot="1" x14ac:dyDescent="0.3">
      <c r="K6" s="5" t="s">
        <v>34</v>
      </c>
    </row>
    <row r="7" spans="1:11" ht="39.75" customHeight="1" x14ac:dyDescent="0.2">
      <c r="A7" s="309" t="s">
        <v>0</v>
      </c>
      <c r="B7" s="311" t="s">
        <v>23</v>
      </c>
      <c r="C7" s="312"/>
      <c r="D7" s="311" t="s">
        <v>24</v>
      </c>
      <c r="E7" s="312"/>
      <c r="F7" s="313" t="s">
        <v>25</v>
      </c>
      <c r="G7" s="313"/>
      <c r="H7" s="313" t="s">
        <v>37</v>
      </c>
      <c r="I7" s="313"/>
      <c r="J7" s="315" t="s">
        <v>1</v>
      </c>
      <c r="K7" s="316"/>
    </row>
    <row r="8" spans="1:11" ht="28.5" customHeight="1" thickBot="1" x14ac:dyDescent="0.25">
      <c r="A8" s="310"/>
      <c r="B8" s="34" t="s">
        <v>32</v>
      </c>
      <c r="C8" s="34" t="s">
        <v>33</v>
      </c>
      <c r="D8" s="35" t="s">
        <v>32</v>
      </c>
      <c r="E8" s="34" t="s">
        <v>33</v>
      </c>
      <c r="F8" s="34" t="s">
        <v>32</v>
      </c>
      <c r="G8" s="34" t="s">
        <v>33</v>
      </c>
      <c r="H8" s="34" t="s">
        <v>32</v>
      </c>
      <c r="I8" s="34" t="s">
        <v>33</v>
      </c>
      <c r="J8" s="34" t="s">
        <v>32</v>
      </c>
      <c r="K8" s="36" t="s">
        <v>33</v>
      </c>
    </row>
    <row r="9" spans="1:11" x14ac:dyDescent="0.2">
      <c r="A9" s="13" t="s">
        <v>2</v>
      </c>
      <c r="B9" s="14">
        <f>C9/$C$29*100</f>
        <v>3.6313658852290267</v>
      </c>
      <c r="C9" s="15">
        <v>47937629.079999998</v>
      </c>
      <c r="D9" s="16">
        <f>E9/$E$29*100</f>
        <v>3.3988709284672929</v>
      </c>
      <c r="E9" s="17">
        <v>16908037.630000003</v>
      </c>
      <c r="F9" s="14">
        <f>G9/$G$29*100</f>
        <v>4.1651903799937706</v>
      </c>
      <c r="G9" s="15">
        <v>1047699.81</v>
      </c>
      <c r="H9" s="14">
        <f>I9/$I$29*100</f>
        <v>2.3300285267422765</v>
      </c>
      <c r="I9" s="15">
        <v>1588293.36</v>
      </c>
      <c r="J9" s="14">
        <f>K9/$K$29*100</f>
        <v>3.5314450494972291</v>
      </c>
      <c r="K9" s="18">
        <f t="shared" ref="K9:K28" si="0">C9+E9+G9+I9</f>
        <v>67481659.88000001</v>
      </c>
    </row>
    <row r="10" spans="1:11" x14ac:dyDescent="0.2">
      <c r="A10" s="19" t="s">
        <v>3</v>
      </c>
      <c r="B10" s="20">
        <f t="shared" ref="B10:B28" si="1">C10/$C$29*100</f>
        <v>2.5760482720844329</v>
      </c>
      <c r="C10" s="21">
        <v>34006390.56000001</v>
      </c>
      <c r="D10" s="22">
        <f t="shared" ref="D10:D28" si="2">E10/$E$29*100</f>
        <v>2.2680225890774941</v>
      </c>
      <c r="E10" s="23">
        <v>11282514.720000001</v>
      </c>
      <c r="F10" s="20">
        <f t="shared" ref="F10:F28" si="3">G10/$G$29*100</f>
        <v>5.614293969439089</v>
      </c>
      <c r="G10" s="21">
        <v>1412203.0900000003</v>
      </c>
      <c r="H10" s="20">
        <f t="shared" ref="H10:H28" si="4">I10/$I$29*100</f>
        <v>0.93426628861662042</v>
      </c>
      <c r="I10" s="21">
        <v>636854.41000000015</v>
      </c>
      <c r="J10" s="20">
        <f t="shared" ref="J10:J28" si="5">K10/$K$29*100</f>
        <v>2.47728663773223</v>
      </c>
      <c r="K10" s="24">
        <f t="shared" si="0"/>
        <v>47337962.780000016</v>
      </c>
    </row>
    <row r="11" spans="1:11" x14ac:dyDescent="0.2">
      <c r="A11" s="19" t="s">
        <v>4</v>
      </c>
      <c r="B11" s="20">
        <f t="shared" si="1"/>
        <v>2.9507936549566254</v>
      </c>
      <c r="C11" s="21">
        <v>38953401.059999995</v>
      </c>
      <c r="D11" s="22">
        <f t="shared" si="2"/>
        <v>2.1036584375825149</v>
      </c>
      <c r="E11" s="23">
        <v>10464868.119999999</v>
      </c>
      <c r="F11" s="20">
        <f t="shared" si="3"/>
        <v>5.8820630435554069</v>
      </c>
      <c r="G11" s="21">
        <v>1479556.9400000002</v>
      </c>
      <c r="H11" s="20">
        <f t="shared" si="4"/>
        <v>0.67422700568243943</v>
      </c>
      <c r="I11" s="21">
        <v>459595.35</v>
      </c>
      <c r="J11" s="20">
        <f t="shared" si="5"/>
        <v>2.6876326416346314</v>
      </c>
      <c r="K11" s="24">
        <f t="shared" si="0"/>
        <v>51357421.469999991</v>
      </c>
    </row>
    <row r="12" spans="1:11" x14ac:dyDescent="0.2">
      <c r="A12" s="19" t="s">
        <v>5</v>
      </c>
      <c r="B12" s="20">
        <f t="shared" si="1"/>
        <v>4.4572695547494039</v>
      </c>
      <c r="C12" s="21">
        <v>58840376.149999999</v>
      </c>
      <c r="D12" s="22">
        <f t="shared" si="2"/>
        <v>5.3570365631158419</v>
      </c>
      <c r="E12" s="23">
        <v>26649136.639999993</v>
      </c>
      <c r="F12" s="20">
        <f t="shared" si="3"/>
        <v>5.0630045050988786</v>
      </c>
      <c r="G12" s="21">
        <v>1273533.3499999999</v>
      </c>
      <c r="H12" s="20">
        <f t="shared" si="4"/>
        <v>16.490464081395647</v>
      </c>
      <c r="I12" s="21">
        <v>11240933.02</v>
      </c>
      <c r="J12" s="20">
        <f t="shared" si="5"/>
        <v>5.1287367212226238</v>
      </c>
      <c r="K12" s="24">
        <f t="shared" si="0"/>
        <v>98003979.159999982</v>
      </c>
    </row>
    <row r="13" spans="1:11" x14ac:dyDescent="0.2">
      <c r="A13" s="19" t="s">
        <v>6</v>
      </c>
      <c r="B13" s="20">
        <f t="shared" si="1"/>
        <v>4.8368527629827591</v>
      </c>
      <c r="C13" s="21">
        <v>63851250.739999995</v>
      </c>
      <c r="D13" s="22">
        <f t="shared" si="2"/>
        <v>4.569826054563646</v>
      </c>
      <c r="E13" s="23">
        <v>22733075.93</v>
      </c>
      <c r="F13" s="20">
        <f t="shared" si="3"/>
        <v>3.4800163587176178</v>
      </c>
      <c r="G13" s="21">
        <v>875353.1399999999</v>
      </c>
      <c r="H13" s="20">
        <f t="shared" si="4"/>
        <v>4.5382207417204032</v>
      </c>
      <c r="I13" s="21">
        <v>3093535.4600000009</v>
      </c>
      <c r="J13" s="20">
        <f t="shared" si="5"/>
        <v>4.7388239167494861</v>
      </c>
      <c r="K13" s="24">
        <f t="shared" si="0"/>
        <v>90553215.269999981</v>
      </c>
    </row>
    <row r="14" spans="1:11" x14ac:dyDescent="0.2">
      <c r="A14" s="19" t="s">
        <v>7</v>
      </c>
      <c r="B14" s="20">
        <f t="shared" si="1"/>
        <v>2.0542507511422645</v>
      </c>
      <c r="C14" s="21">
        <v>27118146.079999998</v>
      </c>
      <c r="D14" s="22">
        <f t="shared" si="2"/>
        <v>1.5051321178373707</v>
      </c>
      <c r="E14" s="23">
        <v>7487436.5699999994</v>
      </c>
      <c r="F14" s="20">
        <f t="shared" si="3"/>
        <v>8.551879001287368</v>
      </c>
      <c r="G14" s="21">
        <v>2151114.64</v>
      </c>
      <c r="H14" s="20">
        <f t="shared" si="4"/>
        <v>1.9638157975450869</v>
      </c>
      <c r="I14" s="21">
        <v>1338659.8299999998</v>
      </c>
      <c r="J14" s="20">
        <f t="shared" si="5"/>
        <v>1.9936033071724286</v>
      </c>
      <c r="K14" s="24">
        <f t="shared" si="0"/>
        <v>38095357.119999997</v>
      </c>
    </row>
    <row r="15" spans="1:11" x14ac:dyDescent="0.2">
      <c r="A15" s="19" t="s">
        <v>8</v>
      </c>
      <c r="B15" s="20">
        <f t="shared" si="1"/>
        <v>2.1910766843768075</v>
      </c>
      <c r="C15" s="21">
        <v>28924384.02</v>
      </c>
      <c r="D15" s="22">
        <f t="shared" si="2"/>
        <v>1.3914364817377103</v>
      </c>
      <c r="E15" s="23">
        <v>6921845.7800000003</v>
      </c>
      <c r="F15" s="20">
        <f t="shared" si="3"/>
        <v>8.4101188658087782</v>
      </c>
      <c r="G15" s="21">
        <v>2115456.71</v>
      </c>
      <c r="H15" s="20">
        <f t="shared" si="4"/>
        <v>0.67683317761695749</v>
      </c>
      <c r="I15" s="21">
        <v>461371.87999999995</v>
      </c>
      <c r="J15" s="20">
        <f t="shared" si="5"/>
        <v>2.0107525449018113</v>
      </c>
      <c r="K15" s="24">
        <f t="shared" si="0"/>
        <v>38423058.390000001</v>
      </c>
    </row>
    <row r="16" spans="1:11" x14ac:dyDescent="0.2">
      <c r="A16" s="19" t="s">
        <v>9</v>
      </c>
      <c r="B16" s="20">
        <f t="shared" si="1"/>
        <v>3.171879640598859</v>
      </c>
      <c r="C16" s="21">
        <v>41871955.210000001</v>
      </c>
      <c r="D16" s="22">
        <f t="shared" si="2"/>
        <v>2.9674633250873246</v>
      </c>
      <c r="E16" s="23">
        <v>14761955.550000001</v>
      </c>
      <c r="F16" s="20">
        <f t="shared" si="3"/>
        <v>4.6219729415778268</v>
      </c>
      <c r="G16" s="21">
        <v>1162597.5599999998</v>
      </c>
      <c r="H16" s="20">
        <f t="shared" si="4"/>
        <v>1.7383273307534819</v>
      </c>
      <c r="I16" s="21">
        <v>1184952.7699999998</v>
      </c>
      <c r="J16" s="20">
        <f t="shared" si="5"/>
        <v>3.0866132983211667</v>
      </c>
      <c r="K16" s="24">
        <f t="shared" si="0"/>
        <v>58981461.090000011</v>
      </c>
    </row>
    <row r="17" spans="1:11" x14ac:dyDescent="0.2">
      <c r="A17" s="19" t="s">
        <v>10</v>
      </c>
      <c r="B17" s="20">
        <f t="shared" si="1"/>
        <v>2.9031187356524244</v>
      </c>
      <c r="C17" s="21">
        <v>38324044.869999997</v>
      </c>
      <c r="D17" s="22">
        <f t="shared" si="2"/>
        <v>2.5517723710526115</v>
      </c>
      <c r="E17" s="23">
        <v>12694057.58</v>
      </c>
      <c r="F17" s="20">
        <f t="shared" si="3"/>
        <v>5.0630045050988786</v>
      </c>
      <c r="G17" s="21">
        <v>1273533.3499999999</v>
      </c>
      <c r="H17" s="20">
        <f t="shared" si="4"/>
        <v>1.046065861153606</v>
      </c>
      <c r="I17" s="21">
        <v>713063.99999999988</v>
      </c>
      <c r="J17" s="20">
        <f t="shared" si="5"/>
        <v>2.7738378848661585</v>
      </c>
      <c r="K17" s="24">
        <f t="shared" si="0"/>
        <v>53004699.799999997</v>
      </c>
    </row>
    <row r="18" spans="1:11" x14ac:dyDescent="0.2">
      <c r="A18" s="19" t="s">
        <v>11</v>
      </c>
      <c r="B18" s="20">
        <f t="shared" si="1"/>
        <v>1.9160988985324072</v>
      </c>
      <c r="C18" s="21">
        <v>25294404.689999998</v>
      </c>
      <c r="D18" s="22">
        <f t="shared" si="2"/>
        <v>1.4727979293854216</v>
      </c>
      <c r="E18" s="23">
        <v>7326586.7800000012</v>
      </c>
      <c r="F18" s="20">
        <f t="shared" si="3"/>
        <v>8.0872207418939546</v>
      </c>
      <c r="G18" s="21">
        <v>2034235.86</v>
      </c>
      <c r="H18" s="20">
        <f t="shared" si="4"/>
        <v>0.78259784394967857</v>
      </c>
      <c r="I18" s="21">
        <v>533467.69999999995</v>
      </c>
      <c r="J18" s="20">
        <f t="shared" si="5"/>
        <v>1.8414920895979778</v>
      </c>
      <c r="K18" s="24">
        <f t="shared" si="0"/>
        <v>35188695.030000001</v>
      </c>
    </row>
    <row r="19" spans="1:11" x14ac:dyDescent="0.2">
      <c r="A19" s="19" t="s">
        <v>12</v>
      </c>
      <c r="B19" s="20">
        <f t="shared" si="1"/>
        <v>3.0936251841970677</v>
      </c>
      <c r="C19" s="21">
        <v>40838918.820000008</v>
      </c>
      <c r="D19" s="22">
        <f t="shared" si="2"/>
        <v>3.1235525348457824</v>
      </c>
      <c r="E19" s="23">
        <v>15538437.59</v>
      </c>
      <c r="F19" s="20">
        <f t="shared" si="3"/>
        <v>5.0157511531097301</v>
      </c>
      <c r="G19" s="21">
        <v>1261647.3799999999</v>
      </c>
      <c r="H19" s="20">
        <f t="shared" si="4"/>
        <v>2.0861644448658625</v>
      </c>
      <c r="I19" s="21">
        <v>1422060.3299999998</v>
      </c>
      <c r="J19" s="20">
        <f t="shared" si="5"/>
        <v>3.0907790779821642</v>
      </c>
      <c r="K19" s="24">
        <f t="shared" si="0"/>
        <v>59061064.120000012</v>
      </c>
    </row>
    <row r="20" spans="1:11" x14ac:dyDescent="0.2">
      <c r="A20" s="19" t="s">
        <v>13</v>
      </c>
      <c r="B20" s="20">
        <f t="shared" si="1"/>
        <v>3.2647347203280765</v>
      </c>
      <c r="C20" s="21">
        <v>43097734.299999997</v>
      </c>
      <c r="D20" s="22">
        <f t="shared" si="2"/>
        <v>3.0257140255988331</v>
      </c>
      <c r="E20" s="23">
        <v>15051729.73</v>
      </c>
      <c r="F20" s="20">
        <f t="shared" si="3"/>
        <v>4.4408349928971624</v>
      </c>
      <c r="G20" s="21">
        <v>1117034.6499999999</v>
      </c>
      <c r="H20" s="20">
        <f t="shared" si="4"/>
        <v>1.3637871389692662</v>
      </c>
      <c r="I20" s="21">
        <v>929642.7200000002</v>
      </c>
      <c r="J20" s="20">
        <f t="shared" si="5"/>
        <v>3.1501798551471132</v>
      </c>
      <c r="K20" s="24">
        <f t="shared" si="0"/>
        <v>60196141.399999999</v>
      </c>
    </row>
    <row r="21" spans="1:11" x14ac:dyDescent="0.2">
      <c r="A21" s="19" t="s">
        <v>14</v>
      </c>
      <c r="B21" s="20">
        <f t="shared" si="1"/>
        <v>4.5022912687389249</v>
      </c>
      <c r="C21" s="21">
        <v>59434707.399999999</v>
      </c>
      <c r="D21" s="22">
        <f t="shared" si="2"/>
        <v>4.3240390133469528</v>
      </c>
      <c r="E21" s="23">
        <v>21510382.679999996</v>
      </c>
      <c r="F21" s="20">
        <f t="shared" si="3"/>
        <v>3.456389623089688</v>
      </c>
      <c r="G21" s="21">
        <v>869410.14</v>
      </c>
      <c r="H21" s="20">
        <f t="shared" si="4"/>
        <v>2.4813859817899053</v>
      </c>
      <c r="I21" s="21">
        <v>1691468.08</v>
      </c>
      <c r="J21" s="20">
        <f t="shared" si="5"/>
        <v>4.3700279287870334</v>
      </c>
      <c r="K21" s="24">
        <f t="shared" si="0"/>
        <v>83505968.299999997</v>
      </c>
    </row>
    <row r="22" spans="1:11" x14ac:dyDescent="0.2">
      <c r="A22" s="19" t="s">
        <v>26</v>
      </c>
      <c r="B22" s="20">
        <f t="shared" si="1"/>
        <v>2.2410871972392843</v>
      </c>
      <c r="C22" s="21">
        <v>29584572.359999999</v>
      </c>
      <c r="D22" s="22">
        <f t="shared" si="2"/>
        <v>1.8990518584392064</v>
      </c>
      <c r="E22" s="23">
        <v>9447031.3699999992</v>
      </c>
      <c r="F22" s="20">
        <f t="shared" si="3"/>
        <v>6.3388457244061751</v>
      </c>
      <c r="G22" s="21">
        <v>1594454.72</v>
      </c>
      <c r="H22" s="20">
        <f t="shared" si="4"/>
        <v>0.46056389019194233</v>
      </c>
      <c r="I22" s="21">
        <v>313949.19000000006</v>
      </c>
      <c r="J22" s="20">
        <f t="shared" si="5"/>
        <v>2.1424693400214667</v>
      </c>
      <c r="K22" s="24">
        <f t="shared" si="0"/>
        <v>40940007.639999993</v>
      </c>
    </row>
    <row r="23" spans="1:11" x14ac:dyDescent="0.2">
      <c r="A23" s="19" t="s">
        <v>15</v>
      </c>
      <c r="B23" s="20">
        <f t="shared" si="1"/>
        <v>2.8711182704046929</v>
      </c>
      <c r="C23" s="21">
        <v>37901607.00999999</v>
      </c>
      <c r="D23" s="22">
        <f t="shared" si="2"/>
        <v>2.5824133715353415</v>
      </c>
      <c r="E23" s="23">
        <v>12846484.430000002</v>
      </c>
      <c r="F23" s="20">
        <f t="shared" si="3"/>
        <v>5.0630045050988786</v>
      </c>
      <c r="G23" s="21">
        <v>1273533.3499999999</v>
      </c>
      <c r="H23" s="20">
        <f t="shared" si="4"/>
        <v>1.416731922383724</v>
      </c>
      <c r="I23" s="21">
        <v>965733.20000000007</v>
      </c>
      <c r="J23" s="20">
        <f t="shared" si="5"/>
        <v>2.7729303545952266</v>
      </c>
      <c r="K23" s="24">
        <f t="shared" si="0"/>
        <v>52987357.989999995</v>
      </c>
    </row>
    <row r="24" spans="1:11" x14ac:dyDescent="0.2">
      <c r="A24" s="19" t="s">
        <v>16</v>
      </c>
      <c r="B24" s="20">
        <f t="shared" si="1"/>
        <v>7.8501921024071111</v>
      </c>
      <c r="C24" s="21">
        <v>103630316.83</v>
      </c>
      <c r="D24" s="22">
        <f t="shared" si="2"/>
        <v>9.4189523632474099</v>
      </c>
      <c r="E24" s="23">
        <v>46855560.080000006</v>
      </c>
      <c r="F24" s="20">
        <f t="shared" si="3"/>
        <v>2.401064165665133</v>
      </c>
      <c r="G24" s="21">
        <v>603956.65999999992</v>
      </c>
      <c r="H24" s="20">
        <f t="shared" si="4"/>
        <v>5.8120733766937267</v>
      </c>
      <c r="I24" s="21">
        <v>3961873.1900000009</v>
      </c>
      <c r="J24" s="20">
        <f t="shared" si="5"/>
        <v>8.11415402684813</v>
      </c>
      <c r="K24" s="24">
        <f t="shared" si="0"/>
        <v>155051706.75999999</v>
      </c>
    </row>
    <row r="25" spans="1:11" x14ac:dyDescent="0.2">
      <c r="A25" s="19" t="s">
        <v>17</v>
      </c>
      <c r="B25" s="20">
        <f t="shared" si="1"/>
        <v>3.5452686003256781</v>
      </c>
      <c r="C25" s="21">
        <v>46801059.579999998</v>
      </c>
      <c r="D25" s="22">
        <f t="shared" si="2"/>
        <v>3.252742750362446</v>
      </c>
      <c r="E25" s="23">
        <v>16181107.779999999</v>
      </c>
      <c r="F25" s="20">
        <f t="shared" si="3"/>
        <v>4.275448201301784</v>
      </c>
      <c r="G25" s="21">
        <v>1075433.7399999998</v>
      </c>
      <c r="H25" s="20">
        <f t="shared" si="4"/>
        <v>2.4326644752543549</v>
      </c>
      <c r="I25" s="21">
        <v>1658256.4499999997</v>
      </c>
      <c r="J25" s="20">
        <f t="shared" si="5"/>
        <v>3.4390372173876136</v>
      </c>
      <c r="K25" s="24">
        <f t="shared" si="0"/>
        <v>65715857.550000004</v>
      </c>
    </row>
    <row r="26" spans="1:11" x14ac:dyDescent="0.2">
      <c r="A26" s="19" t="s">
        <v>18</v>
      </c>
      <c r="B26" s="20">
        <f t="shared" si="1"/>
        <v>34.570175866925638</v>
      </c>
      <c r="C26" s="21">
        <v>456360587.26000005</v>
      </c>
      <c r="D26" s="22">
        <f t="shared" si="2"/>
        <v>37.656490086876687</v>
      </c>
      <c r="E26" s="23">
        <v>187326134.12</v>
      </c>
      <c r="F26" s="20">
        <f t="shared" si="3"/>
        <v>1.353614326538793</v>
      </c>
      <c r="G26" s="21">
        <v>340484.19000000006</v>
      </c>
      <c r="H26" s="20">
        <f t="shared" si="4"/>
        <v>47.621300079488798</v>
      </c>
      <c r="I26" s="21">
        <v>32461660.380000003</v>
      </c>
      <c r="J26" s="20">
        <f t="shared" si="5"/>
        <v>35.4019634512156</v>
      </c>
      <c r="K26" s="24">
        <f t="shared" si="0"/>
        <v>676488865.95000017</v>
      </c>
    </row>
    <row r="27" spans="1:11" x14ac:dyDescent="0.2">
      <c r="A27" s="19" t="s">
        <v>19</v>
      </c>
      <c r="B27" s="20">
        <f t="shared" si="1"/>
        <v>3.770348947392558</v>
      </c>
      <c r="C27" s="21">
        <v>49772343.259999998</v>
      </c>
      <c r="D27" s="22">
        <f t="shared" si="2"/>
        <v>3.8912882719568156</v>
      </c>
      <c r="E27" s="23">
        <v>19357619.02</v>
      </c>
      <c r="F27" s="20">
        <f t="shared" si="3"/>
        <v>4.0313057435466852</v>
      </c>
      <c r="G27" s="21">
        <v>1014022.8600000001</v>
      </c>
      <c r="H27" s="20">
        <f t="shared" si="4"/>
        <v>1.8485705615426056</v>
      </c>
      <c r="I27" s="21">
        <v>1260101.4600000002</v>
      </c>
      <c r="J27" s="20">
        <f t="shared" si="5"/>
        <v>3.7367131837872236</v>
      </c>
      <c r="K27" s="24">
        <f t="shared" si="0"/>
        <v>71404086.599999994</v>
      </c>
    </row>
    <row r="28" spans="1:11" ht="15" thickBot="1" x14ac:dyDescent="0.25">
      <c r="A28" s="25" t="s">
        <v>20</v>
      </c>
      <c r="B28" s="26">
        <f t="shared" si="1"/>
        <v>3.602403001735949</v>
      </c>
      <c r="C28" s="27">
        <v>47555290.309999995</v>
      </c>
      <c r="D28" s="28">
        <f t="shared" si="2"/>
        <v>3.2397389258833122</v>
      </c>
      <c r="E28" s="29">
        <v>16116418.899999999</v>
      </c>
      <c r="F28" s="26">
        <f t="shared" si="3"/>
        <v>4.6849772518744093</v>
      </c>
      <c r="G28" s="27">
        <v>1178445.4799999997</v>
      </c>
      <c r="H28" s="26">
        <f t="shared" si="4"/>
        <v>3.3019114736436208</v>
      </c>
      <c r="I28" s="27">
        <v>2250789.6399999997</v>
      </c>
      <c r="J28" s="26">
        <f t="shared" si="5"/>
        <v>3.5115214725326873</v>
      </c>
      <c r="K28" s="30">
        <f t="shared" si="0"/>
        <v>67100944.329999991</v>
      </c>
    </row>
    <row r="29" spans="1:11" ht="15" thickBot="1" x14ac:dyDescent="0.25">
      <c r="A29" s="37" t="s">
        <v>1</v>
      </c>
      <c r="B29" s="38">
        <f>SUM(B9:B28)</f>
        <v>100</v>
      </c>
      <c r="C29" s="39">
        <f>SUM(C9:C28)</f>
        <v>1320099119.5900002</v>
      </c>
      <c r="D29" s="38">
        <f>SUM(D9:D28)</f>
        <v>100</v>
      </c>
      <c r="E29" s="39">
        <f t="shared" ref="E29:I29" si="6">SUM(E9:E28)</f>
        <v>497460420.99999994</v>
      </c>
      <c r="F29" s="38">
        <f t="shared" si="6"/>
        <v>100</v>
      </c>
      <c r="G29" s="39">
        <f t="shared" si="6"/>
        <v>25153707.619999997</v>
      </c>
      <c r="H29" s="38">
        <f t="shared" si="6"/>
        <v>100</v>
      </c>
      <c r="I29" s="39">
        <f t="shared" si="6"/>
        <v>68166262.420000002</v>
      </c>
      <c r="J29" s="38">
        <f>SUM(J9:J28)</f>
        <v>100.00000000000001</v>
      </c>
      <c r="K29" s="40">
        <f>SUM(K9:K28)</f>
        <v>1910879510.6300001</v>
      </c>
    </row>
    <row r="30" spans="1:11" x14ac:dyDescent="0.2">
      <c r="A30" s="33" t="s">
        <v>38</v>
      </c>
      <c r="B30" s="31"/>
      <c r="C30" s="32"/>
      <c r="D30" s="31"/>
      <c r="E30" s="32"/>
      <c r="F30" s="31"/>
      <c r="G30" s="32"/>
      <c r="H30" s="32"/>
      <c r="I30" s="32"/>
      <c r="J30" s="31"/>
      <c r="K30" s="31"/>
    </row>
    <row r="31" spans="1:11" x14ac:dyDescent="0.2">
      <c r="A31" s="33"/>
      <c r="B31" s="31"/>
      <c r="C31" s="32"/>
      <c r="D31" s="31"/>
      <c r="E31" s="32"/>
      <c r="F31" s="31"/>
      <c r="G31" s="32"/>
      <c r="H31" s="32"/>
      <c r="I31" s="32"/>
      <c r="J31" s="31"/>
      <c r="K31" s="31"/>
    </row>
    <row r="32" spans="1:11" ht="29.25" customHeight="1" x14ac:dyDescent="0.2">
      <c r="A32" s="306" t="s">
        <v>235</v>
      </c>
      <c r="B32" s="306"/>
      <c r="C32" s="306"/>
      <c r="D32" s="306"/>
      <c r="E32" s="306"/>
      <c r="F32" s="306"/>
      <c r="G32" s="306"/>
      <c r="H32" s="306"/>
      <c r="I32" s="306"/>
      <c r="J32" s="306"/>
      <c r="K32" s="306"/>
    </row>
  </sheetData>
  <sortState ref="A9:H28">
    <sortCondition ref="A9"/>
  </sortState>
  <mergeCells count="11">
    <mergeCell ref="A32:K32"/>
    <mergeCell ref="A1:K1"/>
    <mergeCell ref="A2:K2"/>
    <mergeCell ref="A7:A8"/>
    <mergeCell ref="B7:C7"/>
    <mergeCell ref="F7:G7"/>
    <mergeCell ref="A3:K3"/>
    <mergeCell ref="J7:K7"/>
    <mergeCell ref="A5:K5"/>
    <mergeCell ref="H7:I7"/>
    <mergeCell ref="D7:E7"/>
  </mergeCells>
  <pageMargins left="0.35" right="0.39370078740157483" top="0.35433070866141736" bottom="0.39370078740157483" header="0.31496062992125984" footer="0.31496062992125984"/>
  <pageSetup scale="8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H32"/>
  <sheetViews>
    <sheetView topLeftCell="A7" workbookViewId="0">
      <selection activeCell="G29" sqref="G29"/>
    </sheetView>
  </sheetViews>
  <sheetFormatPr baseColWidth="10" defaultRowHeight="15" x14ac:dyDescent="0.25"/>
  <cols>
    <col min="1" max="1" width="17.77734375" style="46" bestFit="1" customWidth="1"/>
    <col min="2" max="7" width="13.21875" style="46" bestFit="1" customWidth="1"/>
    <col min="8" max="16384" width="11.5546875" style="46"/>
  </cols>
  <sheetData>
    <row r="1" spans="1:8" x14ac:dyDescent="0.25">
      <c r="A1" s="436"/>
      <c r="B1" s="436"/>
      <c r="C1" s="436"/>
      <c r="D1" s="436"/>
      <c r="E1" s="436"/>
      <c r="F1" s="436"/>
      <c r="G1" s="436"/>
    </row>
    <row r="2" spans="1:8" x14ac:dyDescent="0.25">
      <c r="A2" s="125"/>
      <c r="B2" s="125"/>
      <c r="C2" s="125"/>
      <c r="D2" s="125"/>
      <c r="E2" s="125"/>
      <c r="F2" s="125"/>
      <c r="G2" s="125"/>
    </row>
    <row r="3" spans="1:8" x14ac:dyDescent="0.25">
      <c r="A3" s="436" t="s">
        <v>226</v>
      </c>
      <c r="B3" s="436"/>
      <c r="C3" s="436"/>
      <c r="D3" s="436"/>
      <c r="E3" s="436"/>
      <c r="F3" s="436"/>
      <c r="G3" s="436"/>
    </row>
    <row r="4" spans="1:8" x14ac:dyDescent="0.25">
      <c r="A4" s="125"/>
      <c r="B4" s="125"/>
      <c r="C4" s="125"/>
      <c r="D4" s="125"/>
      <c r="E4" s="125"/>
      <c r="F4" s="125"/>
      <c r="G4" s="125"/>
    </row>
    <row r="5" spans="1:8" x14ac:dyDescent="0.25">
      <c r="A5" s="436" t="s">
        <v>227</v>
      </c>
      <c r="B5" s="436"/>
      <c r="C5" s="436"/>
      <c r="D5" s="436"/>
      <c r="E5" s="436"/>
      <c r="F5" s="436"/>
      <c r="G5" s="436"/>
    </row>
    <row r="6" spans="1:8" ht="15.75" thickBot="1" x14ac:dyDescent="0.3"/>
    <row r="7" spans="1:8" x14ac:dyDescent="0.25">
      <c r="A7" s="437" t="s">
        <v>228</v>
      </c>
      <c r="B7" s="439">
        <v>2017</v>
      </c>
      <c r="C7" s="440"/>
      <c r="D7" s="441"/>
      <c r="E7" s="439">
        <v>2018</v>
      </c>
      <c r="F7" s="440"/>
      <c r="G7" s="442"/>
      <c r="H7" s="268"/>
    </row>
    <row r="8" spans="1:8" ht="15.75" thickBot="1" x14ac:dyDescent="0.3">
      <c r="A8" s="438"/>
      <c r="B8" s="269" t="s">
        <v>229</v>
      </c>
      <c r="C8" s="270" t="s">
        <v>230</v>
      </c>
      <c r="D8" s="270" t="s">
        <v>42</v>
      </c>
      <c r="E8" s="269" t="s">
        <v>229</v>
      </c>
      <c r="F8" s="270" t="s">
        <v>230</v>
      </c>
      <c r="G8" s="271" t="s">
        <v>42</v>
      </c>
      <c r="H8" s="106"/>
    </row>
    <row r="9" spans="1:8" x14ac:dyDescent="0.25">
      <c r="A9" s="272" t="s">
        <v>192</v>
      </c>
      <c r="B9" s="273">
        <v>4600138</v>
      </c>
      <c r="C9" s="273">
        <v>6164575</v>
      </c>
      <c r="D9" s="274">
        <f t="shared" ref="D9:D28" si="0">B9+C9</f>
        <v>10764713</v>
      </c>
      <c r="E9" s="275">
        <v>3847011</v>
      </c>
      <c r="F9" s="273">
        <v>7359180</v>
      </c>
      <c r="G9" s="274">
        <f t="shared" ref="G9:G28" si="1">E9+F9</f>
        <v>11206191</v>
      </c>
    </row>
    <row r="10" spans="1:8" x14ac:dyDescent="0.25">
      <c r="A10" s="276" t="s">
        <v>3</v>
      </c>
      <c r="B10" s="277">
        <v>1868560</v>
      </c>
      <c r="C10" s="277">
        <v>4098808</v>
      </c>
      <c r="D10" s="278">
        <f t="shared" si="0"/>
        <v>5967368</v>
      </c>
      <c r="E10" s="279">
        <v>2203748</v>
      </c>
      <c r="F10" s="277">
        <v>4292333</v>
      </c>
      <c r="G10" s="278">
        <f t="shared" si="1"/>
        <v>6496081</v>
      </c>
    </row>
    <row r="11" spans="1:8" x14ac:dyDescent="0.25">
      <c r="A11" s="276" t="s">
        <v>4</v>
      </c>
      <c r="B11" s="277">
        <v>272482</v>
      </c>
      <c r="C11" s="277">
        <v>801471</v>
      </c>
      <c r="D11" s="278">
        <f t="shared" si="0"/>
        <v>1073953</v>
      </c>
      <c r="E11" s="279">
        <v>2211427</v>
      </c>
      <c r="F11" s="277">
        <v>1095526</v>
      </c>
      <c r="G11" s="278">
        <f t="shared" si="1"/>
        <v>3306953</v>
      </c>
    </row>
    <row r="12" spans="1:8" x14ac:dyDescent="0.25">
      <c r="A12" s="276" t="s">
        <v>193</v>
      </c>
      <c r="B12" s="277">
        <v>154339475</v>
      </c>
      <c r="C12" s="277">
        <v>114466230</v>
      </c>
      <c r="D12" s="278">
        <f t="shared" si="0"/>
        <v>268805705</v>
      </c>
      <c r="E12" s="279">
        <v>170774917</v>
      </c>
      <c r="F12" s="277">
        <v>122745095</v>
      </c>
      <c r="G12" s="278">
        <f t="shared" si="1"/>
        <v>293520012</v>
      </c>
    </row>
    <row r="13" spans="1:8" x14ac:dyDescent="0.25">
      <c r="A13" s="276" t="s">
        <v>6</v>
      </c>
      <c r="B13" s="277">
        <v>15872814</v>
      </c>
      <c r="C13" s="277">
        <v>9610927</v>
      </c>
      <c r="D13" s="278">
        <f t="shared" si="0"/>
        <v>25483741</v>
      </c>
      <c r="E13" s="279">
        <v>15746604</v>
      </c>
      <c r="F13" s="277">
        <v>10379876</v>
      </c>
      <c r="G13" s="278">
        <f t="shared" si="1"/>
        <v>26126480</v>
      </c>
    </row>
    <row r="14" spans="1:8" x14ac:dyDescent="0.25">
      <c r="A14" s="276" t="s">
        <v>194</v>
      </c>
      <c r="B14" s="277">
        <v>23315</v>
      </c>
      <c r="C14" s="277">
        <v>123172</v>
      </c>
      <c r="D14" s="278">
        <f t="shared" si="0"/>
        <v>146487</v>
      </c>
      <c r="E14" s="279">
        <v>33467</v>
      </c>
      <c r="F14" s="277">
        <v>82331</v>
      </c>
      <c r="G14" s="278">
        <f t="shared" si="1"/>
        <v>115798</v>
      </c>
    </row>
    <row r="15" spans="1:8" x14ac:dyDescent="0.25">
      <c r="A15" s="276" t="s">
        <v>8</v>
      </c>
      <c r="B15" s="277">
        <v>10148</v>
      </c>
      <c r="C15" s="277">
        <v>27360</v>
      </c>
      <c r="D15" s="278">
        <f t="shared" si="0"/>
        <v>37508</v>
      </c>
      <c r="E15" s="279">
        <v>13603</v>
      </c>
      <c r="F15" s="277">
        <v>78610</v>
      </c>
      <c r="G15" s="278">
        <f t="shared" si="1"/>
        <v>92213</v>
      </c>
    </row>
    <row r="16" spans="1:8" x14ac:dyDescent="0.25">
      <c r="A16" s="276" t="s">
        <v>9</v>
      </c>
      <c r="B16" s="277">
        <v>9995787</v>
      </c>
      <c r="C16" s="277">
        <v>2921966</v>
      </c>
      <c r="D16" s="278">
        <f t="shared" si="0"/>
        <v>12917753</v>
      </c>
      <c r="E16" s="279">
        <v>5696258</v>
      </c>
      <c r="F16" s="277">
        <v>5984263</v>
      </c>
      <c r="G16" s="278">
        <f t="shared" si="1"/>
        <v>11680521</v>
      </c>
    </row>
    <row r="17" spans="1:8" x14ac:dyDescent="0.25">
      <c r="A17" s="276" t="s">
        <v>10</v>
      </c>
      <c r="B17" s="277">
        <v>1515005</v>
      </c>
      <c r="C17" s="277">
        <v>1085491</v>
      </c>
      <c r="D17" s="278">
        <f t="shared" si="0"/>
        <v>2600496</v>
      </c>
      <c r="E17" s="279">
        <v>2229122</v>
      </c>
      <c r="F17" s="277">
        <v>1191698</v>
      </c>
      <c r="G17" s="278">
        <f t="shared" si="1"/>
        <v>3420820</v>
      </c>
    </row>
    <row r="18" spans="1:8" x14ac:dyDescent="0.25">
      <c r="A18" s="276" t="s">
        <v>11</v>
      </c>
      <c r="B18" s="277">
        <v>2011785</v>
      </c>
      <c r="C18" s="277">
        <v>188489</v>
      </c>
      <c r="D18" s="278">
        <f t="shared" si="0"/>
        <v>2200274</v>
      </c>
      <c r="E18" s="279">
        <v>2096161</v>
      </c>
      <c r="F18" s="277">
        <v>270627</v>
      </c>
      <c r="G18" s="278">
        <f t="shared" si="1"/>
        <v>2366788</v>
      </c>
    </row>
    <row r="19" spans="1:8" x14ac:dyDescent="0.25">
      <c r="A19" s="276" t="s">
        <v>12</v>
      </c>
      <c r="B19" s="277">
        <v>1207189</v>
      </c>
      <c r="C19" s="277">
        <v>552064</v>
      </c>
      <c r="D19" s="278">
        <f t="shared" si="0"/>
        <v>1759253</v>
      </c>
      <c r="E19" s="279">
        <v>1480024</v>
      </c>
      <c r="F19" s="277">
        <v>857904</v>
      </c>
      <c r="G19" s="278">
        <f t="shared" si="1"/>
        <v>2337928</v>
      </c>
    </row>
    <row r="20" spans="1:8" x14ac:dyDescent="0.25">
      <c r="A20" s="276" t="s">
        <v>13</v>
      </c>
      <c r="B20" s="277">
        <v>443946</v>
      </c>
      <c r="C20" s="277">
        <v>2361354</v>
      </c>
      <c r="D20" s="278">
        <f t="shared" si="0"/>
        <v>2805300</v>
      </c>
      <c r="E20" s="279">
        <v>532672</v>
      </c>
      <c r="F20" s="277">
        <v>2161785</v>
      </c>
      <c r="G20" s="278">
        <f t="shared" si="1"/>
        <v>2694457</v>
      </c>
    </row>
    <row r="21" spans="1:8" x14ac:dyDescent="0.25">
      <c r="A21" s="276" t="s">
        <v>14</v>
      </c>
      <c r="B21" s="277">
        <v>4722861</v>
      </c>
      <c r="C21" s="277">
        <v>1595892</v>
      </c>
      <c r="D21" s="278">
        <f t="shared" si="0"/>
        <v>6318753</v>
      </c>
      <c r="E21" s="279">
        <v>4431219</v>
      </c>
      <c r="F21" s="277">
        <v>2234250</v>
      </c>
      <c r="G21" s="278">
        <f t="shared" si="1"/>
        <v>6665469</v>
      </c>
    </row>
    <row r="22" spans="1:8" x14ac:dyDescent="0.25">
      <c r="A22" s="276" t="s">
        <v>195</v>
      </c>
      <c r="B22" s="277">
        <v>878681</v>
      </c>
      <c r="C22" s="277">
        <v>1097834</v>
      </c>
      <c r="D22" s="278">
        <f t="shared" si="0"/>
        <v>1976515</v>
      </c>
      <c r="E22" s="279">
        <v>1074974</v>
      </c>
      <c r="F22" s="277">
        <v>746412</v>
      </c>
      <c r="G22" s="278">
        <f t="shared" si="1"/>
        <v>1821386</v>
      </c>
    </row>
    <row r="23" spans="1:8" x14ac:dyDescent="0.25">
      <c r="A23" s="276" t="s">
        <v>196</v>
      </c>
      <c r="B23" s="277">
        <v>2361650</v>
      </c>
      <c r="C23" s="277">
        <v>2335873</v>
      </c>
      <c r="D23" s="278">
        <f t="shared" si="0"/>
        <v>4697523</v>
      </c>
      <c r="E23" s="279">
        <v>2058103</v>
      </c>
      <c r="F23" s="277">
        <v>2519056</v>
      </c>
      <c r="G23" s="278">
        <f t="shared" si="1"/>
        <v>4577159</v>
      </c>
    </row>
    <row r="24" spans="1:8" x14ac:dyDescent="0.25">
      <c r="A24" s="276" t="s">
        <v>16</v>
      </c>
      <c r="B24" s="277">
        <v>4200863</v>
      </c>
      <c r="C24" s="277">
        <v>11809025</v>
      </c>
      <c r="D24" s="278">
        <f t="shared" si="0"/>
        <v>16009888</v>
      </c>
      <c r="E24" s="279">
        <v>4902160</v>
      </c>
      <c r="F24" s="277">
        <v>11312920</v>
      </c>
      <c r="G24" s="278">
        <f t="shared" si="1"/>
        <v>16215080</v>
      </c>
    </row>
    <row r="25" spans="1:8" x14ac:dyDescent="0.25">
      <c r="A25" s="276" t="s">
        <v>17</v>
      </c>
      <c r="B25" s="277">
        <v>2916876</v>
      </c>
      <c r="C25" s="277">
        <v>1649032</v>
      </c>
      <c r="D25" s="278">
        <f t="shared" si="0"/>
        <v>4565908</v>
      </c>
      <c r="E25" s="279">
        <v>2588653</v>
      </c>
      <c r="F25" s="277">
        <v>1751273</v>
      </c>
      <c r="G25" s="278">
        <f t="shared" si="1"/>
        <v>4339926</v>
      </c>
    </row>
    <row r="26" spans="1:8" x14ac:dyDescent="0.25">
      <c r="A26" s="276" t="s">
        <v>18</v>
      </c>
      <c r="B26" s="277">
        <v>54817026</v>
      </c>
      <c r="C26" s="277">
        <v>285002518</v>
      </c>
      <c r="D26" s="278">
        <f t="shared" si="0"/>
        <v>339819544</v>
      </c>
      <c r="E26" s="279">
        <v>68254405</v>
      </c>
      <c r="F26" s="277">
        <v>181485941</v>
      </c>
      <c r="G26" s="278">
        <f t="shared" si="1"/>
        <v>249740346</v>
      </c>
    </row>
    <row r="27" spans="1:8" x14ac:dyDescent="0.25">
      <c r="A27" s="276" t="s">
        <v>19</v>
      </c>
      <c r="B27" s="277">
        <v>824105</v>
      </c>
      <c r="C27" s="277">
        <v>1076489</v>
      </c>
      <c r="D27" s="278">
        <f t="shared" si="0"/>
        <v>1900594</v>
      </c>
      <c r="E27" s="279">
        <v>1341794</v>
      </c>
      <c r="F27" s="277">
        <v>1265479</v>
      </c>
      <c r="G27" s="278">
        <f t="shared" si="1"/>
        <v>2607273</v>
      </c>
    </row>
    <row r="28" spans="1:8" ht="15.75" thickBot="1" x14ac:dyDescent="0.3">
      <c r="A28" s="280" t="s">
        <v>20</v>
      </c>
      <c r="B28" s="281">
        <v>8125909</v>
      </c>
      <c r="C28" s="281">
        <v>17789868</v>
      </c>
      <c r="D28" s="282">
        <f t="shared" si="0"/>
        <v>25915777</v>
      </c>
      <c r="E28" s="283">
        <v>10345095</v>
      </c>
      <c r="F28" s="281">
        <v>27454438</v>
      </c>
      <c r="G28" s="282">
        <f t="shared" si="1"/>
        <v>37799533</v>
      </c>
    </row>
    <row r="29" spans="1:8" ht="15.75" thickBot="1" x14ac:dyDescent="0.3">
      <c r="A29" s="284" t="s">
        <v>88</v>
      </c>
      <c r="B29" s="285">
        <f>SUM(B9:B28)</f>
        <v>271008615</v>
      </c>
      <c r="C29" s="281">
        <f t="shared" ref="C29" si="2">SUM(C9:C28)</f>
        <v>464758438</v>
      </c>
      <c r="D29" s="282">
        <f>SUM(D9:D28)</f>
        <v>735767053</v>
      </c>
      <c r="E29" s="283">
        <f>SUM(E9:E28)</f>
        <v>301861417</v>
      </c>
      <c r="F29" s="283">
        <f>SUM(F9:F28)</f>
        <v>385268997</v>
      </c>
      <c r="G29" s="282">
        <f>SUM(G9:G28)</f>
        <v>687130414</v>
      </c>
      <c r="H29" s="104"/>
    </row>
    <row r="32" spans="1:8" x14ac:dyDescent="0.25">
      <c r="C32" s="135"/>
    </row>
  </sheetData>
  <mergeCells count="6">
    <mergeCell ref="A1:G1"/>
    <mergeCell ref="A3:G3"/>
    <mergeCell ref="A5:G5"/>
    <mergeCell ref="A7:A8"/>
    <mergeCell ref="B7:D7"/>
    <mergeCell ref="E7:G7"/>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K32"/>
  <sheetViews>
    <sheetView zoomScaleNormal="100" workbookViewId="0">
      <selection activeCell="A5" sqref="A5:K5"/>
    </sheetView>
  </sheetViews>
  <sheetFormatPr baseColWidth="10" defaultRowHeight="14.25" x14ac:dyDescent="0.2"/>
  <cols>
    <col min="1" max="1" width="19.44140625" style="287" customWidth="1"/>
    <col min="2" max="2" width="10.33203125" style="287" bestFit="1" customWidth="1"/>
    <col min="3" max="3" width="10.5546875" style="287" customWidth="1"/>
    <col min="4" max="4" width="10.44140625" style="287" customWidth="1"/>
    <col min="5" max="5" width="10.109375" style="287" customWidth="1"/>
    <col min="6" max="6" width="10.33203125" style="287" bestFit="1" customWidth="1"/>
    <col min="7" max="7" width="9.33203125" style="287" customWidth="1"/>
    <col min="8" max="8" width="10.33203125" style="287" bestFit="1" customWidth="1"/>
    <col min="9" max="9" width="11.21875" style="287" customWidth="1"/>
    <col min="10" max="10" width="9.5546875" style="287" customWidth="1"/>
    <col min="11" max="11" width="10.6640625" style="287" customWidth="1"/>
    <col min="12" max="16384" width="11.5546875" style="287"/>
  </cols>
  <sheetData>
    <row r="1" spans="1:11" ht="16.5" x14ac:dyDescent="0.25">
      <c r="A1" s="319" t="s">
        <v>27</v>
      </c>
      <c r="B1" s="319"/>
      <c r="C1" s="319"/>
      <c r="D1" s="319"/>
      <c r="E1" s="319"/>
      <c r="F1" s="319"/>
      <c r="G1" s="319"/>
      <c r="H1" s="319"/>
      <c r="I1" s="319"/>
      <c r="J1" s="319"/>
      <c r="K1" s="319"/>
    </row>
    <row r="2" spans="1:11" ht="15.75" x14ac:dyDescent="0.25">
      <c r="A2" s="320" t="s">
        <v>28</v>
      </c>
      <c r="B2" s="320"/>
      <c r="C2" s="320"/>
      <c r="D2" s="320"/>
      <c r="E2" s="320"/>
      <c r="F2" s="320"/>
      <c r="G2" s="320"/>
      <c r="H2" s="320"/>
      <c r="I2" s="320"/>
      <c r="J2" s="320"/>
      <c r="K2" s="320"/>
    </row>
    <row r="3" spans="1:11" ht="15" x14ac:dyDescent="0.25">
      <c r="A3" s="321" t="s">
        <v>29</v>
      </c>
      <c r="B3" s="321"/>
      <c r="C3" s="321"/>
      <c r="D3" s="321"/>
      <c r="E3" s="321"/>
      <c r="F3" s="321"/>
      <c r="G3" s="321"/>
      <c r="H3" s="321"/>
      <c r="I3" s="321"/>
      <c r="J3" s="321"/>
      <c r="K3" s="321"/>
    </row>
    <row r="4" spans="1:11" x14ac:dyDescent="0.2">
      <c r="A4" s="288"/>
      <c r="B4" s="288"/>
      <c r="C4" s="288"/>
      <c r="D4" s="288"/>
      <c r="E4" s="288"/>
      <c r="F4" s="288"/>
      <c r="G4" s="288"/>
      <c r="H4" s="288"/>
      <c r="I4" s="288"/>
      <c r="J4" s="288"/>
      <c r="K4" s="288"/>
    </row>
    <row r="5" spans="1:11" ht="26.25" customHeight="1" x14ac:dyDescent="0.2">
      <c r="A5" s="323" t="s">
        <v>219</v>
      </c>
      <c r="B5" s="323"/>
      <c r="C5" s="323"/>
      <c r="D5" s="323"/>
      <c r="E5" s="323"/>
      <c r="F5" s="323"/>
      <c r="G5" s="323"/>
      <c r="H5" s="323"/>
      <c r="I5" s="323"/>
      <c r="J5" s="323"/>
      <c r="K5" s="323"/>
    </row>
    <row r="6" spans="1:11" ht="15" thickBot="1" x14ac:dyDescent="0.25">
      <c r="A6" s="288"/>
      <c r="B6" s="288"/>
      <c r="C6" s="288"/>
      <c r="D6" s="288"/>
      <c r="E6" s="288"/>
      <c r="F6" s="288"/>
      <c r="G6" s="288"/>
      <c r="H6" s="288"/>
      <c r="I6" s="288"/>
      <c r="J6" s="288"/>
      <c r="K6" s="289" t="s">
        <v>35</v>
      </c>
    </row>
    <row r="7" spans="1:11" ht="39.75" customHeight="1" x14ac:dyDescent="0.2">
      <c r="A7" s="309" t="s">
        <v>0</v>
      </c>
      <c r="B7" s="313" t="s">
        <v>31</v>
      </c>
      <c r="C7" s="313"/>
      <c r="D7" s="313" t="s">
        <v>24</v>
      </c>
      <c r="E7" s="313"/>
      <c r="F7" s="313" t="s">
        <v>25</v>
      </c>
      <c r="G7" s="313"/>
      <c r="H7" s="313" t="s">
        <v>37</v>
      </c>
      <c r="I7" s="313"/>
      <c r="J7" s="315" t="s">
        <v>1</v>
      </c>
      <c r="K7" s="316"/>
    </row>
    <row r="8" spans="1:11" ht="28.5" customHeight="1" thickBot="1" x14ac:dyDescent="0.25">
      <c r="A8" s="322"/>
      <c r="B8" s="290" t="s">
        <v>32</v>
      </c>
      <c r="C8" s="290" t="s">
        <v>33</v>
      </c>
      <c r="D8" s="291" t="s">
        <v>32</v>
      </c>
      <c r="E8" s="290" t="s">
        <v>33</v>
      </c>
      <c r="F8" s="290" t="s">
        <v>32</v>
      </c>
      <c r="G8" s="290" t="s">
        <v>33</v>
      </c>
      <c r="H8" s="290" t="s">
        <v>32</v>
      </c>
      <c r="I8" s="290" t="s">
        <v>33</v>
      </c>
      <c r="J8" s="290" t="s">
        <v>32</v>
      </c>
      <c r="K8" s="292" t="s">
        <v>33</v>
      </c>
    </row>
    <row r="9" spans="1:11" x14ac:dyDescent="0.2">
      <c r="A9" s="293" t="s">
        <v>2</v>
      </c>
      <c r="B9" s="294">
        <f>C9/$C$29*100</f>
        <v>3.6316940168771872</v>
      </c>
      <c r="C9" s="295">
        <v>48433917.209999993</v>
      </c>
      <c r="D9" s="294">
        <f>E9/$E$29*100</f>
        <v>3.3984568199001273</v>
      </c>
      <c r="E9" s="295">
        <v>16912953.820000004</v>
      </c>
      <c r="F9" s="294">
        <f>G9/$G$29*100</f>
        <v>4.1999654740807166</v>
      </c>
      <c r="G9" s="295">
        <v>1102367.6100000001</v>
      </c>
      <c r="H9" s="296">
        <f>I9/$I$29*100</f>
        <v>2.269582134115665</v>
      </c>
      <c r="I9" s="295">
        <v>1593853.12</v>
      </c>
      <c r="J9" s="294">
        <f>K9/$K$29*100</f>
        <v>3.5295999726062037</v>
      </c>
      <c r="K9" s="297">
        <f t="shared" ref="K9:K28" si="0">C9+E9+G9+I9</f>
        <v>68043091.760000005</v>
      </c>
    </row>
    <row r="10" spans="1:11" x14ac:dyDescent="0.2">
      <c r="A10" s="298" t="s">
        <v>3</v>
      </c>
      <c r="B10" s="294">
        <f t="shared" ref="B10:B28" si="1">C10/$C$29*100</f>
        <v>2.5791098744907459</v>
      </c>
      <c r="C10" s="295">
        <v>34396178.080000006</v>
      </c>
      <c r="D10" s="294">
        <f t="shared" ref="D10:D28" si="2">E10/$E$29*100</f>
        <v>2.2675606331774163</v>
      </c>
      <c r="E10" s="23">
        <v>11284871.430000002</v>
      </c>
      <c r="F10" s="294">
        <f t="shared" ref="F10:F28" si="3">G10/$G$29*100</f>
        <v>5.5887047451748453</v>
      </c>
      <c r="G10" s="23">
        <v>1466870.8900000004</v>
      </c>
      <c r="H10" s="296">
        <f t="shared" ref="H10:H28" si="4">I10/$I$29*100</f>
        <v>0.90881718266975409</v>
      </c>
      <c r="I10" s="295">
        <v>638232.51000000013</v>
      </c>
      <c r="J10" s="22">
        <f t="shared" ref="J10:J28" si="5">K10/$K$29*100</f>
        <v>2.4788115830627842</v>
      </c>
      <c r="K10" s="299">
        <f t="shared" si="0"/>
        <v>47786152.910000004</v>
      </c>
    </row>
    <row r="11" spans="1:11" x14ac:dyDescent="0.2">
      <c r="A11" s="298" t="s">
        <v>4</v>
      </c>
      <c r="B11" s="294">
        <f t="shared" si="1"/>
        <v>2.9687159009928301</v>
      </c>
      <c r="C11" s="295">
        <v>39592140.609999992</v>
      </c>
      <c r="D11" s="294">
        <f t="shared" si="2"/>
        <v>2.1030969289410355</v>
      </c>
      <c r="E11" s="23">
        <v>10466391.989999998</v>
      </c>
      <c r="F11" s="294">
        <f t="shared" si="3"/>
        <v>5.8453195458822158</v>
      </c>
      <c r="G11" s="23">
        <v>1534224.7400000002</v>
      </c>
      <c r="H11" s="296">
        <f t="shared" si="4"/>
        <v>0.6551872157528732</v>
      </c>
      <c r="I11" s="295">
        <v>460116.5</v>
      </c>
      <c r="J11" s="22">
        <f t="shared" si="5"/>
        <v>2.7001392401123034</v>
      </c>
      <c r="K11" s="299">
        <f t="shared" si="0"/>
        <v>52052873.839999996</v>
      </c>
    </row>
    <row r="12" spans="1:11" x14ac:dyDescent="0.2">
      <c r="A12" s="298" t="s">
        <v>5</v>
      </c>
      <c r="B12" s="294">
        <f t="shared" si="1"/>
        <v>4.5048260487061151</v>
      </c>
      <c r="C12" s="295">
        <v>60078401.670000002</v>
      </c>
      <c r="D12" s="294">
        <f t="shared" si="2"/>
        <v>5.3662604798739011</v>
      </c>
      <c r="E12" s="23">
        <v>26706037.619999994</v>
      </c>
      <c r="F12" s="294">
        <f t="shared" si="3"/>
        <v>5.0603799694679905</v>
      </c>
      <c r="G12" s="23">
        <v>1328201.1499999999</v>
      </c>
      <c r="H12" s="296">
        <f t="shared" si="4"/>
        <v>16.841723109177817</v>
      </c>
      <c r="I12" s="295">
        <v>11827389.949999999</v>
      </c>
      <c r="J12" s="22">
        <f t="shared" si="5"/>
        <v>5.1841901859929118</v>
      </c>
      <c r="K12" s="299">
        <f t="shared" si="0"/>
        <v>99940030.390000001</v>
      </c>
    </row>
    <row r="13" spans="1:11" x14ac:dyDescent="0.2">
      <c r="A13" s="298" t="s">
        <v>6</v>
      </c>
      <c r="B13" s="294">
        <f t="shared" si="1"/>
        <v>4.8425358805600434</v>
      </c>
      <c r="C13" s="295">
        <v>64582253.029999994</v>
      </c>
      <c r="D13" s="294">
        <f t="shared" si="2"/>
        <v>4.5700440329926941</v>
      </c>
      <c r="E13" s="23">
        <v>22743541.490000002</v>
      </c>
      <c r="F13" s="294">
        <f t="shared" si="3"/>
        <v>3.5433332789704273</v>
      </c>
      <c r="G13" s="23">
        <v>930020.94</v>
      </c>
      <c r="H13" s="296">
        <f t="shared" si="4"/>
        <v>4.4424304057606641</v>
      </c>
      <c r="I13" s="295">
        <v>3119773.2200000007</v>
      </c>
      <c r="J13" s="22">
        <f t="shared" si="5"/>
        <v>4.7399268163678707</v>
      </c>
      <c r="K13" s="299">
        <f t="shared" si="0"/>
        <v>91375588.679999992</v>
      </c>
    </row>
    <row r="14" spans="1:11" x14ac:dyDescent="0.2">
      <c r="A14" s="298" t="s">
        <v>7</v>
      </c>
      <c r="B14" s="294">
        <f t="shared" si="1"/>
        <v>2.0702519105455819</v>
      </c>
      <c r="C14" s="295">
        <v>27609817.669999998</v>
      </c>
      <c r="D14" s="294">
        <f t="shared" si="2"/>
        <v>1.5052571525740499</v>
      </c>
      <c r="E14" s="23">
        <v>7491148.4999999991</v>
      </c>
      <c r="F14" s="294">
        <f t="shared" si="3"/>
        <v>8.4039208039988758</v>
      </c>
      <c r="G14" s="23">
        <v>2205782.44</v>
      </c>
      <c r="H14" s="296">
        <f t="shared" si="4"/>
        <v>1.9062904621178718</v>
      </c>
      <c r="I14" s="295">
        <v>1338725.2899999998</v>
      </c>
      <c r="J14" s="22">
        <f t="shared" si="5"/>
        <v>2.0046570502691359</v>
      </c>
      <c r="K14" s="299">
        <f t="shared" si="0"/>
        <v>38645473.899999991</v>
      </c>
    </row>
    <row r="15" spans="1:11" x14ac:dyDescent="0.2">
      <c r="A15" s="298" t="s">
        <v>8</v>
      </c>
      <c r="B15" s="294">
        <f t="shared" si="1"/>
        <v>2.2101618967471568</v>
      </c>
      <c r="C15" s="295">
        <v>29475720.649999999</v>
      </c>
      <c r="D15" s="294">
        <f t="shared" si="2"/>
        <v>1.3910855824969588</v>
      </c>
      <c r="E15" s="23">
        <v>6922955.7599999998</v>
      </c>
      <c r="F15" s="294">
        <f t="shared" si="3"/>
        <v>8.2680658736483839</v>
      </c>
      <c r="G15" s="23">
        <v>2170124.5099999998</v>
      </c>
      <c r="H15" s="296">
        <f t="shared" si="4"/>
        <v>0.65699685455769663</v>
      </c>
      <c r="I15" s="295">
        <v>461387.34999999992</v>
      </c>
      <c r="J15" s="22">
        <f t="shared" si="5"/>
        <v>2.0246133425934576</v>
      </c>
      <c r="K15" s="299">
        <f t="shared" si="0"/>
        <v>39030188.269999996</v>
      </c>
    </row>
    <row r="16" spans="1:11" x14ac:dyDescent="0.2">
      <c r="A16" s="298" t="s">
        <v>9</v>
      </c>
      <c r="B16" s="294">
        <f t="shared" si="1"/>
        <v>3.1722226043073189</v>
      </c>
      <c r="C16" s="295">
        <v>42306198.230000004</v>
      </c>
      <c r="D16" s="294">
        <f t="shared" si="2"/>
        <v>2.9671035695273171</v>
      </c>
      <c r="E16" s="23">
        <v>14766256.660000002</v>
      </c>
      <c r="F16" s="294">
        <f t="shared" si="3"/>
        <v>4.6377201565224082</v>
      </c>
      <c r="G16" s="23">
        <v>1217265.3599999999</v>
      </c>
      <c r="H16" s="296">
        <f t="shared" si="4"/>
        <v>1.6938308353005793</v>
      </c>
      <c r="I16" s="295">
        <v>1189521.8599999999</v>
      </c>
      <c r="J16" s="22">
        <f t="shared" si="5"/>
        <v>3.0853673149154059</v>
      </c>
      <c r="K16" s="299">
        <f t="shared" si="0"/>
        <v>59479242.110000007</v>
      </c>
    </row>
    <row r="17" spans="1:11" x14ac:dyDescent="0.2">
      <c r="A17" s="298" t="s">
        <v>10</v>
      </c>
      <c r="B17" s="294">
        <f t="shared" si="1"/>
        <v>2.9058070631742172</v>
      </c>
      <c r="C17" s="295">
        <v>38753159.839999996</v>
      </c>
      <c r="D17" s="294">
        <f t="shared" si="2"/>
        <v>2.5511469459386911</v>
      </c>
      <c r="E17" s="23">
        <v>12696183.23</v>
      </c>
      <c r="F17" s="294">
        <f t="shared" si="3"/>
        <v>5.0603799694679905</v>
      </c>
      <c r="G17" s="23">
        <v>1328201.1499999999</v>
      </c>
      <c r="H17" s="296">
        <f t="shared" si="4"/>
        <v>1.016577716835543</v>
      </c>
      <c r="I17" s="295">
        <v>713909.19999999984</v>
      </c>
      <c r="J17" s="22">
        <f t="shared" si="5"/>
        <v>2.7747626929099729</v>
      </c>
      <c r="K17" s="299">
        <f t="shared" si="0"/>
        <v>53491453.419999994</v>
      </c>
    </row>
    <row r="18" spans="1:11" x14ac:dyDescent="0.2">
      <c r="A18" s="298" t="s">
        <v>11</v>
      </c>
      <c r="B18" s="294">
        <f t="shared" si="1"/>
        <v>1.9252246394787422</v>
      </c>
      <c r="C18" s="295">
        <v>25675668.259999998</v>
      </c>
      <c r="D18" s="294">
        <f t="shared" si="2"/>
        <v>1.4725114437614133</v>
      </c>
      <c r="E18" s="23">
        <v>7328184.3400000008</v>
      </c>
      <c r="F18" s="294">
        <f t="shared" si="3"/>
        <v>7.9586184963116287</v>
      </c>
      <c r="G18" s="23">
        <v>2088903.6600000001</v>
      </c>
      <c r="H18" s="296">
        <f t="shared" si="4"/>
        <v>0.7602778972396651</v>
      </c>
      <c r="I18" s="295">
        <v>533918.24</v>
      </c>
      <c r="J18" s="22">
        <f t="shared" si="5"/>
        <v>1.8480628391018037</v>
      </c>
      <c r="K18" s="299">
        <f t="shared" si="0"/>
        <v>35626674.5</v>
      </c>
    </row>
    <row r="19" spans="1:11" x14ac:dyDescent="0.2">
      <c r="A19" s="298" t="s">
        <v>12</v>
      </c>
      <c r="B19" s="294">
        <f t="shared" si="1"/>
        <v>3.1009473156402336</v>
      </c>
      <c r="C19" s="295">
        <v>41355638.680000007</v>
      </c>
      <c r="D19" s="294">
        <f t="shared" si="2"/>
        <v>3.1229263024732843</v>
      </c>
      <c r="E19" s="23">
        <v>15541732.949999999</v>
      </c>
      <c r="F19" s="294">
        <f t="shared" si="3"/>
        <v>5.0150950180841605</v>
      </c>
      <c r="G19" s="23">
        <v>1316315.18</v>
      </c>
      <c r="H19" s="296">
        <f t="shared" si="4"/>
        <v>2.0264569862526103</v>
      </c>
      <c r="I19" s="295">
        <v>1423114.2999999998</v>
      </c>
      <c r="J19" s="22">
        <f t="shared" si="5"/>
        <v>3.0935403744825019</v>
      </c>
      <c r="K19" s="299">
        <f t="shared" si="0"/>
        <v>59636801.110000007</v>
      </c>
    </row>
    <row r="20" spans="1:11" x14ac:dyDescent="0.2">
      <c r="A20" s="298" t="s">
        <v>13</v>
      </c>
      <c r="B20" s="294">
        <f t="shared" si="1"/>
        <v>3.2628505189365482</v>
      </c>
      <c r="C20" s="295">
        <v>43514853.170000002</v>
      </c>
      <c r="D20" s="294">
        <f t="shared" si="2"/>
        <v>3.0249789287767608</v>
      </c>
      <c r="E20" s="23">
        <v>15054282.470000001</v>
      </c>
      <c r="F20" s="294">
        <f t="shared" si="3"/>
        <v>4.4641277476356418</v>
      </c>
      <c r="G20" s="23">
        <v>1171702.45</v>
      </c>
      <c r="H20" s="296">
        <f t="shared" si="4"/>
        <v>1.3250359019679883</v>
      </c>
      <c r="I20" s="295">
        <v>930529.27000000025</v>
      </c>
      <c r="J20" s="22">
        <f t="shared" si="5"/>
        <v>3.1472064398126776</v>
      </c>
      <c r="K20" s="299">
        <f t="shared" si="0"/>
        <v>60671367.360000007</v>
      </c>
    </row>
    <row r="21" spans="1:11" x14ac:dyDescent="0.2">
      <c r="A21" s="298" t="s">
        <v>14</v>
      </c>
      <c r="B21" s="294">
        <f t="shared" si="1"/>
        <v>4.4968721378281202</v>
      </c>
      <c r="C21" s="295">
        <v>59972324.709999993</v>
      </c>
      <c r="D21" s="294">
        <f t="shared" si="2"/>
        <v>4.3232234810831249</v>
      </c>
      <c r="E21" s="23">
        <v>21515200.269999996</v>
      </c>
      <c r="F21" s="294">
        <f t="shared" si="3"/>
        <v>3.5206907461292625</v>
      </c>
      <c r="G21" s="23">
        <v>924077.94000000006</v>
      </c>
      <c r="H21" s="296">
        <f t="shared" si="4"/>
        <v>2.4141326956695042</v>
      </c>
      <c r="I21" s="295">
        <v>1695366.24</v>
      </c>
      <c r="J21" s="22">
        <f t="shared" si="5"/>
        <v>4.3628816440354932</v>
      </c>
      <c r="K21" s="299">
        <f t="shared" si="0"/>
        <v>84106969.159999982</v>
      </c>
    </row>
    <row r="22" spans="1:11" x14ac:dyDescent="0.2">
      <c r="A22" s="298" t="s">
        <v>26</v>
      </c>
      <c r="B22" s="294">
        <f t="shared" si="1"/>
        <v>2.2442942724209396</v>
      </c>
      <c r="C22" s="295">
        <v>29930925.48</v>
      </c>
      <c r="D22" s="294">
        <f t="shared" si="2"/>
        <v>1.8984541604843621</v>
      </c>
      <c r="E22" s="23">
        <v>9447955.129999999</v>
      </c>
      <c r="F22" s="294">
        <f t="shared" si="3"/>
        <v>6.2830743426224078</v>
      </c>
      <c r="G22" s="23">
        <v>1649122.52</v>
      </c>
      <c r="H22" s="296">
        <f t="shared" si="4"/>
        <v>0.44730953429830717</v>
      </c>
      <c r="I22" s="295">
        <v>314130.82000000007</v>
      </c>
      <c r="J22" s="22">
        <f t="shared" si="5"/>
        <v>2.1445409237442039</v>
      </c>
      <c r="K22" s="299">
        <f t="shared" si="0"/>
        <v>41342133.950000003</v>
      </c>
    </row>
    <row r="23" spans="1:11" x14ac:dyDescent="0.2">
      <c r="A23" s="298" t="s">
        <v>15</v>
      </c>
      <c r="B23" s="294">
        <f t="shared" si="1"/>
        <v>2.8728827485782888</v>
      </c>
      <c r="C23" s="295">
        <v>38314066.25999999</v>
      </c>
      <c r="D23" s="294">
        <f t="shared" si="2"/>
        <v>2.5818955269484851</v>
      </c>
      <c r="E23" s="23">
        <v>12849208.370000001</v>
      </c>
      <c r="F23" s="294">
        <f t="shared" si="3"/>
        <v>5.0603799694679905</v>
      </c>
      <c r="G23" s="23">
        <v>1328201.1499999999</v>
      </c>
      <c r="H23" s="296">
        <f t="shared" si="4"/>
        <v>1.3771996643106847</v>
      </c>
      <c r="I23" s="295">
        <v>967162.17</v>
      </c>
      <c r="J23" s="22">
        <f t="shared" si="5"/>
        <v>2.7730604557097354</v>
      </c>
      <c r="K23" s="299">
        <f t="shared" si="0"/>
        <v>53458637.949999996</v>
      </c>
    </row>
    <row r="24" spans="1:11" x14ac:dyDescent="0.2">
      <c r="A24" s="298" t="s">
        <v>16</v>
      </c>
      <c r="B24" s="294">
        <f t="shared" si="1"/>
        <v>7.8360514014822149</v>
      </c>
      <c r="C24" s="295">
        <v>104505132.61</v>
      </c>
      <c r="D24" s="294">
        <f t="shared" si="2"/>
        <v>9.4172621083827686</v>
      </c>
      <c r="E24" s="23">
        <v>46866483.109999999</v>
      </c>
      <c r="F24" s="294">
        <f t="shared" si="3"/>
        <v>2.5093262603978861</v>
      </c>
      <c r="G24" s="23">
        <v>658624.46</v>
      </c>
      <c r="H24" s="296">
        <f t="shared" si="4"/>
        <v>5.6715816234468015</v>
      </c>
      <c r="I24" s="295">
        <v>3982965.8200000008</v>
      </c>
      <c r="J24" s="22">
        <f t="shared" si="5"/>
        <v>8.0928745796280968</v>
      </c>
      <c r="K24" s="299">
        <f t="shared" si="0"/>
        <v>156013206</v>
      </c>
    </row>
    <row r="25" spans="1:11" x14ac:dyDescent="0.2">
      <c r="A25" s="298" t="s">
        <v>17</v>
      </c>
      <c r="B25" s="294">
        <f t="shared" si="1"/>
        <v>3.5465754996134899</v>
      </c>
      <c r="C25" s="295">
        <v>47298738.090000004</v>
      </c>
      <c r="D25" s="294">
        <f t="shared" si="2"/>
        <v>3.2522248966659237</v>
      </c>
      <c r="E25" s="23">
        <v>16185207.699999999</v>
      </c>
      <c r="F25" s="294">
        <f t="shared" si="3"/>
        <v>4.3056303606429855</v>
      </c>
      <c r="G25" s="23">
        <v>1130101.5399999998</v>
      </c>
      <c r="H25" s="296">
        <f t="shared" si="4"/>
        <v>2.364553861067126</v>
      </c>
      <c r="I25" s="295">
        <v>1660548.6499999997</v>
      </c>
      <c r="J25" s="22">
        <f t="shared" si="5"/>
        <v>3.4378627734992158</v>
      </c>
      <c r="K25" s="299">
        <f t="shared" si="0"/>
        <v>66274595.980000004</v>
      </c>
    </row>
    <row r="26" spans="1:11" x14ac:dyDescent="0.2">
      <c r="A26" s="298" t="s">
        <v>18</v>
      </c>
      <c r="B26" s="294">
        <f t="shared" si="1"/>
        <v>34.442287323085587</v>
      </c>
      <c r="C26" s="295">
        <v>459337952.20000005</v>
      </c>
      <c r="D26" s="294">
        <f t="shared" si="2"/>
        <v>37.655676018996346</v>
      </c>
      <c r="E26" s="23">
        <v>187399382.52000001</v>
      </c>
      <c r="F26" s="294">
        <f t="shared" si="3"/>
        <v>1.5055093237130659</v>
      </c>
      <c r="G26" s="23">
        <v>395151.99000000011</v>
      </c>
      <c r="H26" s="296">
        <f t="shared" si="4"/>
        <v>48.180042914804289</v>
      </c>
      <c r="I26" s="295">
        <v>33835264.460000001</v>
      </c>
      <c r="J26" s="22">
        <f t="shared" si="5"/>
        <v>35.323846899154191</v>
      </c>
      <c r="K26" s="299">
        <f t="shared" si="0"/>
        <v>680967751.17000008</v>
      </c>
    </row>
    <row r="27" spans="1:11" x14ac:dyDescent="0.2">
      <c r="A27" s="298" t="s">
        <v>19</v>
      </c>
      <c r="B27" s="294">
        <f t="shared" si="1"/>
        <v>3.7697816234942447</v>
      </c>
      <c r="C27" s="295">
        <v>50275516.109999999</v>
      </c>
      <c r="D27" s="294">
        <f t="shared" si="2"/>
        <v>3.8902951954914422</v>
      </c>
      <c r="E27" s="23">
        <v>19360664.699999999</v>
      </c>
      <c r="F27" s="294">
        <f t="shared" si="3"/>
        <v>4.0716579784782807</v>
      </c>
      <c r="G27" s="23">
        <v>1068690.6600000001</v>
      </c>
      <c r="H27" s="296">
        <f t="shared" si="4"/>
        <v>1.7958423469785427</v>
      </c>
      <c r="I27" s="295">
        <v>1261161.2000000002</v>
      </c>
      <c r="J27" s="22">
        <f t="shared" si="5"/>
        <v>3.7330947252742703</v>
      </c>
      <c r="K27" s="299">
        <f t="shared" si="0"/>
        <v>71966032.670000002</v>
      </c>
    </row>
    <row r="28" spans="1:11" ht="15" thickBot="1" x14ac:dyDescent="0.25">
      <c r="A28" s="300" t="s">
        <v>20</v>
      </c>
      <c r="B28" s="294">
        <f t="shared" si="1"/>
        <v>3.616907323040393</v>
      </c>
      <c r="C28" s="295">
        <v>48236715.159999996</v>
      </c>
      <c r="D28" s="294">
        <f t="shared" si="2"/>
        <v>3.2405397915139003</v>
      </c>
      <c r="E28" s="29">
        <v>16127054.939999998</v>
      </c>
      <c r="F28" s="294">
        <f t="shared" si="3"/>
        <v>4.698099939302848</v>
      </c>
      <c r="G28" s="29">
        <v>1233113.2799999998</v>
      </c>
      <c r="H28" s="296">
        <f t="shared" si="4"/>
        <v>3.246130657676026</v>
      </c>
      <c r="I28" s="295">
        <v>2279651.13</v>
      </c>
      <c r="J28" s="28">
        <f t="shared" si="5"/>
        <v>3.5209601467277594</v>
      </c>
      <c r="K28" s="301">
        <f t="shared" si="0"/>
        <v>67876534.50999999</v>
      </c>
    </row>
    <row r="29" spans="1:11" ht="15" thickBot="1" x14ac:dyDescent="0.25">
      <c r="A29" s="37" t="s">
        <v>1</v>
      </c>
      <c r="B29" s="38">
        <f>SUM(B9:B28)</f>
        <v>100</v>
      </c>
      <c r="C29" s="302">
        <f>SUM(C9:C28)</f>
        <v>1333645317.72</v>
      </c>
      <c r="D29" s="38">
        <f t="shared" ref="D29:F29" si="6">SUM(D9:D28)</f>
        <v>100</v>
      </c>
      <c r="E29" s="302">
        <f>SUM(E9:E28)</f>
        <v>497665697</v>
      </c>
      <c r="F29" s="38">
        <f t="shared" si="6"/>
        <v>100</v>
      </c>
      <c r="G29" s="302">
        <f>SUM(G9:G28)</f>
        <v>26247063.619999997</v>
      </c>
      <c r="H29" s="38">
        <f t="shared" ref="H29" si="7">SUM(H9:H28)</f>
        <v>100</v>
      </c>
      <c r="I29" s="302">
        <f>SUM(I9:I28)</f>
        <v>70226721.299999997</v>
      </c>
      <c r="J29" s="303">
        <f>SUM(J9:J28)</f>
        <v>99.999999999999986</v>
      </c>
      <c r="K29" s="304">
        <f>SUM(K9:K28)</f>
        <v>1927784799.6400001</v>
      </c>
    </row>
    <row r="30" spans="1:11" x14ac:dyDescent="0.2">
      <c r="A30" s="305" t="s">
        <v>38</v>
      </c>
      <c r="B30" s="288"/>
      <c r="C30" s="288"/>
      <c r="D30" s="288"/>
      <c r="E30" s="288"/>
      <c r="F30" s="288"/>
      <c r="G30" s="288"/>
      <c r="H30" s="288"/>
      <c r="I30" s="288"/>
      <c r="J30" s="288"/>
      <c r="K30" s="288"/>
    </row>
    <row r="31" spans="1:11" x14ac:dyDescent="0.2">
      <c r="A31" s="288"/>
      <c r="B31" s="288"/>
      <c r="C31" s="288"/>
      <c r="D31" s="288"/>
      <c r="E31" s="288"/>
      <c r="F31" s="288"/>
      <c r="G31" s="288"/>
      <c r="H31" s="288"/>
      <c r="I31" s="288"/>
      <c r="J31" s="288"/>
      <c r="K31" s="288"/>
    </row>
    <row r="32" spans="1:11" ht="27" customHeight="1" x14ac:dyDescent="0.2">
      <c r="A32" s="318" t="s">
        <v>236</v>
      </c>
      <c r="B32" s="318"/>
      <c r="C32" s="318"/>
      <c r="D32" s="318"/>
      <c r="E32" s="318"/>
      <c r="F32" s="318"/>
      <c r="G32" s="318"/>
      <c r="H32" s="318"/>
      <c r="I32" s="318"/>
      <c r="J32" s="318"/>
      <c r="K32" s="318"/>
    </row>
  </sheetData>
  <sortState ref="A10:K29">
    <sortCondition ref="A10"/>
  </sortState>
  <mergeCells count="11">
    <mergeCell ref="A32:K32"/>
    <mergeCell ref="J7:K7"/>
    <mergeCell ref="A1:K1"/>
    <mergeCell ref="A2:K2"/>
    <mergeCell ref="A3:K3"/>
    <mergeCell ref="A7:A8"/>
    <mergeCell ref="B7:C7"/>
    <mergeCell ref="D7:E7"/>
    <mergeCell ref="F7:G7"/>
    <mergeCell ref="H7:I7"/>
    <mergeCell ref="A5:K5"/>
  </mergeCells>
  <pageMargins left="0.36" right="0.56999999999999995" top="0.36" bottom="0.38" header="0.31496062992125984" footer="0.31496062992125984"/>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D32"/>
  <sheetViews>
    <sheetView workbookViewId="0">
      <selection activeCell="A5" sqref="A5:D5"/>
    </sheetView>
  </sheetViews>
  <sheetFormatPr baseColWidth="10" defaultRowHeight="14.25" x14ac:dyDescent="0.2"/>
  <cols>
    <col min="1" max="1" width="33.5546875" style="1" customWidth="1"/>
    <col min="2" max="4" width="20.77734375" style="1" customWidth="1"/>
    <col min="5" max="5" width="10.109375" style="1" customWidth="1"/>
    <col min="6" max="16384" width="11.5546875" style="1"/>
  </cols>
  <sheetData>
    <row r="1" spans="1:4" ht="16.5" x14ac:dyDescent="0.25">
      <c r="A1" s="307" t="s">
        <v>27</v>
      </c>
      <c r="B1" s="307"/>
      <c r="C1" s="307"/>
      <c r="D1" s="307"/>
    </row>
    <row r="2" spans="1:4" ht="15.75" x14ac:dyDescent="0.25">
      <c r="A2" s="308" t="s">
        <v>28</v>
      </c>
      <c r="B2" s="308"/>
      <c r="C2" s="308"/>
      <c r="D2" s="308"/>
    </row>
    <row r="3" spans="1:4" ht="15" x14ac:dyDescent="0.25">
      <c r="A3" s="314" t="s">
        <v>29</v>
      </c>
      <c r="B3" s="314"/>
      <c r="C3" s="314"/>
      <c r="D3" s="314"/>
    </row>
    <row r="5" spans="1:4" ht="21" customHeight="1" x14ac:dyDescent="0.2">
      <c r="A5" s="317" t="s">
        <v>220</v>
      </c>
      <c r="B5" s="317"/>
      <c r="C5" s="317"/>
      <c r="D5" s="317"/>
    </row>
    <row r="6" spans="1:4" ht="15.75" thickBot="1" x14ac:dyDescent="0.3">
      <c r="D6" s="5" t="s">
        <v>30</v>
      </c>
    </row>
    <row r="7" spans="1:4" ht="24.95" customHeight="1" x14ac:dyDescent="0.2">
      <c r="A7" s="329" t="s">
        <v>0</v>
      </c>
      <c r="B7" s="325" t="s">
        <v>36</v>
      </c>
      <c r="C7" s="325" t="s">
        <v>21</v>
      </c>
      <c r="D7" s="327" t="s">
        <v>22</v>
      </c>
    </row>
    <row r="8" spans="1:4" ht="30" customHeight="1" thickBot="1" x14ac:dyDescent="0.25">
      <c r="A8" s="330"/>
      <c r="B8" s="326"/>
      <c r="C8" s="326"/>
      <c r="D8" s="328"/>
    </row>
    <row r="9" spans="1:4" x14ac:dyDescent="0.2">
      <c r="A9" s="2" t="s">
        <v>2</v>
      </c>
      <c r="B9" s="7">
        <f>PROVISIONALES!K9</f>
        <v>67481659.88000001</v>
      </c>
      <c r="C9" s="7">
        <f>DEFINITIVAS!K9</f>
        <v>68043091.760000005</v>
      </c>
      <c r="D9" s="10">
        <f t="shared" ref="D9:D28" si="0">C9-B9</f>
        <v>561431.87999999523</v>
      </c>
    </row>
    <row r="10" spans="1:4" x14ac:dyDescent="0.2">
      <c r="A10" s="3" t="s">
        <v>3</v>
      </c>
      <c r="B10" s="8">
        <f>PROVISIONALES!K10</f>
        <v>47337962.780000016</v>
      </c>
      <c r="C10" s="8">
        <f>DEFINITIVAS!K10</f>
        <v>47786152.910000004</v>
      </c>
      <c r="D10" s="11">
        <f t="shared" si="0"/>
        <v>448190.12999998778</v>
      </c>
    </row>
    <row r="11" spans="1:4" x14ac:dyDescent="0.2">
      <c r="A11" s="3" t="s">
        <v>4</v>
      </c>
      <c r="B11" s="8">
        <f>PROVISIONALES!K11</f>
        <v>51357421.469999991</v>
      </c>
      <c r="C11" s="8">
        <f>DEFINITIVAS!K11</f>
        <v>52052873.839999996</v>
      </c>
      <c r="D11" s="11">
        <f t="shared" si="0"/>
        <v>695452.37000000477</v>
      </c>
    </row>
    <row r="12" spans="1:4" x14ac:dyDescent="0.2">
      <c r="A12" s="3" t="s">
        <v>5</v>
      </c>
      <c r="B12" s="8">
        <f>PROVISIONALES!K12</f>
        <v>98003979.159999982</v>
      </c>
      <c r="C12" s="8">
        <f>DEFINITIVAS!K12</f>
        <v>99940030.390000001</v>
      </c>
      <c r="D12" s="11">
        <f t="shared" si="0"/>
        <v>1936051.2300000191</v>
      </c>
    </row>
    <row r="13" spans="1:4" x14ac:dyDescent="0.2">
      <c r="A13" s="3" t="s">
        <v>6</v>
      </c>
      <c r="B13" s="8">
        <f>PROVISIONALES!K13</f>
        <v>90553215.269999981</v>
      </c>
      <c r="C13" s="8">
        <f>DEFINITIVAS!K13</f>
        <v>91375588.679999992</v>
      </c>
      <c r="D13" s="11">
        <f t="shared" si="0"/>
        <v>822373.41000001132</v>
      </c>
    </row>
    <row r="14" spans="1:4" x14ac:dyDescent="0.2">
      <c r="A14" s="3" t="s">
        <v>7</v>
      </c>
      <c r="B14" s="8">
        <f>PROVISIONALES!K14</f>
        <v>38095357.119999997</v>
      </c>
      <c r="C14" s="8">
        <f>DEFINITIVAS!K14</f>
        <v>38645473.899999991</v>
      </c>
      <c r="D14" s="11">
        <f t="shared" si="0"/>
        <v>550116.77999999374</v>
      </c>
    </row>
    <row r="15" spans="1:4" x14ac:dyDescent="0.2">
      <c r="A15" s="3" t="s">
        <v>8</v>
      </c>
      <c r="B15" s="8">
        <f>PROVISIONALES!K15</f>
        <v>38423058.390000001</v>
      </c>
      <c r="C15" s="8">
        <f>DEFINITIVAS!K15</f>
        <v>39030188.269999996</v>
      </c>
      <c r="D15" s="11">
        <f t="shared" si="0"/>
        <v>607129.87999999523</v>
      </c>
    </row>
    <row r="16" spans="1:4" x14ac:dyDescent="0.2">
      <c r="A16" s="3" t="s">
        <v>9</v>
      </c>
      <c r="B16" s="8">
        <f>PROVISIONALES!K16</f>
        <v>58981461.090000011</v>
      </c>
      <c r="C16" s="8">
        <f>DEFINITIVAS!K16</f>
        <v>59479242.110000007</v>
      </c>
      <c r="D16" s="11">
        <f t="shared" si="0"/>
        <v>497781.01999999583</v>
      </c>
    </row>
    <row r="17" spans="1:4" x14ac:dyDescent="0.2">
      <c r="A17" s="3" t="s">
        <v>10</v>
      </c>
      <c r="B17" s="8">
        <f>PROVISIONALES!K17</f>
        <v>53004699.799999997</v>
      </c>
      <c r="C17" s="8">
        <f>DEFINITIVAS!K17</f>
        <v>53491453.419999994</v>
      </c>
      <c r="D17" s="11">
        <f t="shared" si="0"/>
        <v>486753.61999999732</v>
      </c>
    </row>
    <row r="18" spans="1:4" x14ac:dyDescent="0.2">
      <c r="A18" s="3" t="s">
        <v>11</v>
      </c>
      <c r="B18" s="8">
        <f>PROVISIONALES!K18</f>
        <v>35188695.030000001</v>
      </c>
      <c r="C18" s="8">
        <f>DEFINITIVAS!K18</f>
        <v>35626674.5</v>
      </c>
      <c r="D18" s="11">
        <f t="shared" si="0"/>
        <v>437979.46999999881</v>
      </c>
    </row>
    <row r="19" spans="1:4" x14ac:dyDescent="0.2">
      <c r="A19" s="3" t="s">
        <v>12</v>
      </c>
      <c r="B19" s="8">
        <f>PROVISIONALES!K19</f>
        <v>59061064.120000012</v>
      </c>
      <c r="C19" s="8">
        <f>DEFINITIVAS!K19</f>
        <v>59636801.110000007</v>
      </c>
      <c r="D19" s="11">
        <f t="shared" si="0"/>
        <v>575736.98999999464</v>
      </c>
    </row>
    <row r="20" spans="1:4" x14ac:dyDescent="0.2">
      <c r="A20" s="3" t="s">
        <v>13</v>
      </c>
      <c r="B20" s="8">
        <f>PROVISIONALES!K20</f>
        <v>60196141.399999999</v>
      </c>
      <c r="C20" s="8">
        <f>DEFINITIVAS!K20</f>
        <v>60671367.360000007</v>
      </c>
      <c r="D20" s="11">
        <f t="shared" si="0"/>
        <v>475225.96000000834</v>
      </c>
    </row>
    <row r="21" spans="1:4" x14ac:dyDescent="0.2">
      <c r="A21" s="3" t="s">
        <v>14</v>
      </c>
      <c r="B21" s="8">
        <f>PROVISIONALES!K21</f>
        <v>83505968.299999997</v>
      </c>
      <c r="C21" s="8">
        <f>DEFINITIVAS!K21</f>
        <v>84106969.159999982</v>
      </c>
      <c r="D21" s="11">
        <f t="shared" si="0"/>
        <v>601000.8599999845</v>
      </c>
    </row>
    <row r="22" spans="1:4" x14ac:dyDescent="0.2">
      <c r="A22" s="3" t="s">
        <v>26</v>
      </c>
      <c r="B22" s="8">
        <f>PROVISIONALES!K22</f>
        <v>40940007.639999993</v>
      </c>
      <c r="C22" s="8">
        <f>DEFINITIVAS!K22</f>
        <v>41342133.950000003</v>
      </c>
      <c r="D22" s="11">
        <f t="shared" si="0"/>
        <v>402126.31000000983</v>
      </c>
    </row>
    <row r="23" spans="1:4" x14ac:dyDescent="0.2">
      <c r="A23" s="3" t="s">
        <v>15</v>
      </c>
      <c r="B23" s="8">
        <f>PROVISIONALES!K23</f>
        <v>52987357.989999995</v>
      </c>
      <c r="C23" s="8">
        <f>DEFINITIVAS!K23</f>
        <v>53458637.949999996</v>
      </c>
      <c r="D23" s="11">
        <f t="shared" si="0"/>
        <v>471279.96000000089</v>
      </c>
    </row>
    <row r="24" spans="1:4" x14ac:dyDescent="0.2">
      <c r="A24" s="3" t="s">
        <v>16</v>
      </c>
      <c r="B24" s="8">
        <f>PROVISIONALES!K24</f>
        <v>155051706.75999999</v>
      </c>
      <c r="C24" s="8">
        <f>DEFINITIVAS!K24</f>
        <v>156013206</v>
      </c>
      <c r="D24" s="11">
        <f t="shared" si="0"/>
        <v>961499.24000000954</v>
      </c>
    </row>
    <row r="25" spans="1:4" x14ac:dyDescent="0.2">
      <c r="A25" s="3" t="s">
        <v>17</v>
      </c>
      <c r="B25" s="8">
        <f>PROVISIONALES!K25</f>
        <v>65715857.550000004</v>
      </c>
      <c r="C25" s="8">
        <f>DEFINITIVAS!K25</f>
        <v>66274595.980000004</v>
      </c>
      <c r="D25" s="11">
        <f t="shared" si="0"/>
        <v>558738.4299999997</v>
      </c>
    </row>
    <row r="26" spans="1:4" x14ac:dyDescent="0.2">
      <c r="A26" s="3" t="s">
        <v>18</v>
      </c>
      <c r="B26" s="8">
        <f>PROVISIONALES!K26</f>
        <v>676488865.95000017</v>
      </c>
      <c r="C26" s="8">
        <f>DEFINITIVAS!K26</f>
        <v>680967751.17000008</v>
      </c>
      <c r="D26" s="11">
        <f t="shared" si="0"/>
        <v>4478885.2199999094</v>
      </c>
    </row>
    <row r="27" spans="1:4" x14ac:dyDescent="0.2">
      <c r="A27" s="3" t="s">
        <v>19</v>
      </c>
      <c r="B27" s="8">
        <f>PROVISIONALES!K27</f>
        <v>71404086.599999994</v>
      </c>
      <c r="C27" s="8">
        <f>DEFINITIVAS!K27</f>
        <v>71966032.670000002</v>
      </c>
      <c r="D27" s="11">
        <f t="shared" si="0"/>
        <v>561946.07000000775</v>
      </c>
    </row>
    <row r="28" spans="1:4" ht="15" thickBot="1" x14ac:dyDescent="0.25">
      <c r="A28" s="4" t="s">
        <v>20</v>
      </c>
      <c r="B28" s="9">
        <f>PROVISIONALES!K28</f>
        <v>67100944.329999991</v>
      </c>
      <c r="C28" s="9">
        <f>DEFINITIVAS!K28</f>
        <v>67876534.50999999</v>
      </c>
      <c r="D28" s="12">
        <f t="shared" si="0"/>
        <v>775590.1799999997</v>
      </c>
    </row>
    <row r="29" spans="1:4" ht="15.75" thickBot="1" x14ac:dyDescent="0.3">
      <c r="A29" s="41" t="s">
        <v>1</v>
      </c>
      <c r="B29" s="42">
        <f>SUM(B9:B28)</f>
        <v>1910879510.6300001</v>
      </c>
      <c r="C29" s="42">
        <f t="shared" ref="C29:D29" si="1">SUM(C9:C28)</f>
        <v>1927784799.6400001</v>
      </c>
      <c r="D29" s="43">
        <f t="shared" si="1"/>
        <v>16905289.009999923</v>
      </c>
    </row>
    <row r="30" spans="1:4" ht="14.25" customHeight="1" x14ac:dyDescent="0.2">
      <c r="A30" s="33" t="s">
        <v>38</v>
      </c>
      <c r="C30" s="6"/>
    </row>
    <row r="31" spans="1:4" ht="14.25" customHeight="1" x14ac:dyDescent="0.2">
      <c r="C31" s="6"/>
    </row>
    <row r="32" spans="1:4" ht="48" customHeight="1" x14ac:dyDescent="0.2">
      <c r="A32" s="324" t="s">
        <v>237</v>
      </c>
      <c r="B32" s="324"/>
      <c r="C32" s="324"/>
      <c r="D32" s="324"/>
    </row>
  </sheetData>
  <sortState ref="A10:D28">
    <sortCondition ref="A9"/>
  </sortState>
  <mergeCells count="9">
    <mergeCell ref="A32:D32"/>
    <mergeCell ref="A1:D1"/>
    <mergeCell ref="A2:D2"/>
    <mergeCell ref="A3:D3"/>
    <mergeCell ref="A5:D5"/>
    <mergeCell ref="B7:B8"/>
    <mergeCell ref="C7:C8"/>
    <mergeCell ref="D7:D8"/>
    <mergeCell ref="A7:A8"/>
  </mergeCells>
  <pageMargins left="0.57999999999999996" right="0.70866141732283472" top="0.43" bottom="0.41" header="0.31496062992125984" footer="0.31496062992125984"/>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0" tint="-0.249977111117893"/>
    <pageSetUpPr fitToPage="1"/>
  </sheetPr>
  <dimension ref="B1:W35"/>
  <sheetViews>
    <sheetView zoomScaleNormal="100" workbookViewId="0">
      <selection activeCell="B2" sqref="B2:S2"/>
    </sheetView>
  </sheetViews>
  <sheetFormatPr baseColWidth="10" defaultRowHeight="15" x14ac:dyDescent="0.25"/>
  <cols>
    <col min="1" max="1" width="2.77734375" style="46" customWidth="1"/>
    <col min="2" max="2" width="15.88671875" style="46" customWidth="1"/>
    <col min="3" max="3" width="11.33203125" style="46" bestFit="1" customWidth="1"/>
    <col min="4" max="4" width="11.77734375" style="46" customWidth="1"/>
    <col min="5" max="5" width="10.109375" style="46" customWidth="1"/>
    <col min="6" max="6" width="13.5546875" style="45" customWidth="1"/>
    <col min="7" max="7" width="12.88671875" style="45" customWidth="1"/>
    <col min="8" max="8" width="13" style="45" customWidth="1"/>
    <col min="9" max="9" width="11.88671875" style="46" customWidth="1"/>
    <col min="10" max="10" width="12.77734375" style="46" customWidth="1"/>
    <col min="11" max="11" width="11.6640625" style="46" customWidth="1"/>
    <col min="12" max="12" width="13.21875" style="46" customWidth="1"/>
    <col min="13" max="13" width="13.77734375" style="46" customWidth="1"/>
    <col min="14" max="14" width="11.21875" style="46" customWidth="1"/>
    <col min="15" max="15" width="9.44140625" style="46" customWidth="1"/>
    <col min="16" max="17" width="11.21875" style="46" customWidth="1"/>
    <col min="18" max="18" width="13.21875" style="46" customWidth="1"/>
    <col min="19" max="19" width="11.6640625" style="46" customWidth="1"/>
    <col min="20" max="20" width="0.21875" style="46" customWidth="1"/>
    <col min="21" max="21" width="13.88671875" style="46" bestFit="1" customWidth="1"/>
    <col min="22" max="22" width="9.44140625" style="46" bestFit="1" customWidth="1"/>
    <col min="23" max="16384" width="11.5546875" style="46"/>
  </cols>
  <sheetData>
    <row r="1" spans="2:23" x14ac:dyDescent="0.25">
      <c r="B1" s="44"/>
      <c r="C1" s="44"/>
      <c r="D1" s="44"/>
      <c r="E1" s="44"/>
      <c r="S1" s="47"/>
    </row>
    <row r="2" spans="2:23" ht="15.75" x14ac:dyDescent="0.25">
      <c r="B2" s="344" t="s">
        <v>221</v>
      </c>
      <c r="C2" s="344"/>
      <c r="D2" s="344"/>
      <c r="E2" s="344"/>
      <c r="F2" s="344"/>
      <c r="G2" s="344"/>
      <c r="H2" s="344"/>
      <c r="I2" s="344"/>
      <c r="J2" s="344"/>
      <c r="K2" s="344"/>
      <c r="L2" s="344"/>
      <c r="M2" s="344"/>
      <c r="N2" s="344"/>
      <c r="O2" s="344"/>
      <c r="P2" s="344"/>
      <c r="Q2" s="344"/>
      <c r="R2" s="344"/>
      <c r="S2" s="344"/>
    </row>
    <row r="3" spans="2:23" ht="15.75" thickBot="1" x14ac:dyDescent="0.3">
      <c r="B3" s="47"/>
      <c r="C3" s="47"/>
      <c r="D3" s="47"/>
      <c r="E3" s="47"/>
      <c r="F3" s="47"/>
      <c r="G3" s="47"/>
      <c r="H3" s="47"/>
      <c r="I3" s="45"/>
    </row>
    <row r="4" spans="2:23" ht="33.75" customHeight="1" thickBot="1" x14ac:dyDescent="0.3">
      <c r="B4" s="345" t="s">
        <v>0</v>
      </c>
      <c r="C4" s="347" t="s">
        <v>39</v>
      </c>
      <c r="D4" s="348"/>
      <c r="E4" s="348"/>
      <c r="F4" s="349"/>
      <c r="G4" s="347" t="s">
        <v>40</v>
      </c>
      <c r="H4" s="348"/>
      <c r="I4" s="348"/>
      <c r="J4" s="348"/>
      <c r="K4" s="348"/>
      <c r="L4" s="349"/>
      <c r="M4" s="350" t="s">
        <v>41</v>
      </c>
      <c r="N4" s="351"/>
      <c r="O4" s="351"/>
      <c r="P4" s="351"/>
      <c r="Q4" s="351"/>
      <c r="R4" s="352"/>
      <c r="S4" s="48" t="s">
        <v>42</v>
      </c>
      <c r="T4" s="353" t="s">
        <v>43</v>
      </c>
    </row>
    <row r="5" spans="2:23" ht="15" customHeight="1" x14ac:dyDescent="0.25">
      <c r="B5" s="346"/>
      <c r="C5" s="49" t="s">
        <v>44</v>
      </c>
      <c r="D5" s="334" t="s">
        <v>207</v>
      </c>
      <c r="E5" s="50" t="s">
        <v>45</v>
      </c>
      <c r="F5" s="334" t="s">
        <v>206</v>
      </c>
      <c r="G5" s="354" t="s">
        <v>208</v>
      </c>
      <c r="H5" s="355"/>
      <c r="I5" s="336" t="s">
        <v>209</v>
      </c>
      <c r="J5" s="332" t="s">
        <v>46</v>
      </c>
      <c r="K5" s="50" t="s">
        <v>47</v>
      </c>
      <c r="L5" s="334" t="s">
        <v>211</v>
      </c>
      <c r="M5" s="334" t="s">
        <v>48</v>
      </c>
      <c r="N5" s="336" t="s">
        <v>212</v>
      </c>
      <c r="O5" s="336" t="s">
        <v>49</v>
      </c>
      <c r="P5" s="336" t="s">
        <v>213</v>
      </c>
      <c r="Q5" s="340" t="s">
        <v>214</v>
      </c>
      <c r="R5" s="334" t="s">
        <v>215</v>
      </c>
      <c r="S5" s="342" t="s">
        <v>233</v>
      </c>
      <c r="T5" s="353"/>
    </row>
    <row r="6" spans="2:23" ht="19.5" customHeight="1" thickBot="1" x14ac:dyDescent="0.3">
      <c r="B6" s="346"/>
      <c r="C6" s="51" t="s">
        <v>216</v>
      </c>
      <c r="D6" s="338"/>
      <c r="E6" s="52" t="s">
        <v>205</v>
      </c>
      <c r="F6" s="335"/>
      <c r="G6" s="356"/>
      <c r="H6" s="357"/>
      <c r="I6" s="337"/>
      <c r="J6" s="333"/>
      <c r="K6" s="52" t="s">
        <v>210</v>
      </c>
      <c r="L6" s="335"/>
      <c r="M6" s="335"/>
      <c r="N6" s="337"/>
      <c r="O6" s="337"/>
      <c r="P6" s="338"/>
      <c r="Q6" s="341"/>
      <c r="R6" s="335"/>
      <c r="S6" s="342"/>
      <c r="T6" s="353"/>
    </row>
    <row r="7" spans="2:23" x14ac:dyDescent="0.25">
      <c r="B7" s="346"/>
      <c r="C7" s="51" t="s">
        <v>50</v>
      </c>
      <c r="D7" s="52" t="s">
        <v>51</v>
      </c>
      <c r="E7" s="53">
        <v>0.6</v>
      </c>
      <c r="F7" s="335"/>
      <c r="G7" s="54">
        <v>2017</v>
      </c>
      <c r="H7" s="55">
        <v>2018</v>
      </c>
      <c r="I7" s="337"/>
      <c r="J7" s="333"/>
      <c r="K7" s="53">
        <v>0.3</v>
      </c>
      <c r="L7" s="335"/>
      <c r="M7" s="335"/>
      <c r="N7" s="337"/>
      <c r="O7" s="337"/>
      <c r="P7" s="338"/>
      <c r="Q7" s="341"/>
      <c r="R7" s="335"/>
      <c r="S7" s="342"/>
      <c r="T7" s="353"/>
    </row>
    <row r="8" spans="2:23" ht="15.75" thickBot="1" x14ac:dyDescent="0.3">
      <c r="B8" s="346"/>
      <c r="C8" s="56" t="s">
        <v>52</v>
      </c>
      <c r="D8" s="57" t="s">
        <v>53</v>
      </c>
      <c r="E8" s="57" t="s">
        <v>54</v>
      </c>
      <c r="F8" s="57" t="s">
        <v>55</v>
      </c>
      <c r="G8" s="57" t="s">
        <v>56</v>
      </c>
      <c r="H8" s="57" t="s">
        <v>57</v>
      </c>
      <c r="I8" s="57" t="s">
        <v>58</v>
      </c>
      <c r="J8" s="57" t="s">
        <v>59</v>
      </c>
      <c r="K8" s="57" t="s">
        <v>60</v>
      </c>
      <c r="L8" s="58" t="s">
        <v>61</v>
      </c>
      <c r="M8" s="58" t="s">
        <v>62</v>
      </c>
      <c r="N8" s="58" t="s">
        <v>63</v>
      </c>
      <c r="O8" s="58" t="s">
        <v>64</v>
      </c>
      <c r="P8" s="339"/>
      <c r="Q8" s="59" t="s">
        <v>65</v>
      </c>
      <c r="R8" s="58" t="s">
        <v>66</v>
      </c>
      <c r="S8" s="60" t="s">
        <v>67</v>
      </c>
      <c r="T8" s="353"/>
    </row>
    <row r="9" spans="2:23" s="75" customFormat="1" ht="16.5" customHeight="1" x14ac:dyDescent="0.25">
      <c r="B9" s="61" t="s">
        <v>68</v>
      </c>
      <c r="C9" s="62">
        <f>'CENSO 2015'!C10</f>
        <v>37309</v>
      </c>
      <c r="D9" s="63">
        <f>C9/$C$29*100</f>
        <v>3.1589687142796663</v>
      </c>
      <c r="E9" s="64">
        <f>D9*0.6</f>
        <v>1.8953812285677998</v>
      </c>
      <c r="F9" s="65">
        <f>Datos!$L$18*FGP!E9/100</f>
        <v>256752.09644585327</v>
      </c>
      <c r="G9" s="66">
        <f>'Predial y Agua'!D9</f>
        <v>10764713</v>
      </c>
      <c r="H9" s="67">
        <f>'Predial y Agua'!G9</f>
        <v>11206191</v>
      </c>
      <c r="I9" s="63">
        <f>H9/G9</f>
        <v>1.0410115903693855</v>
      </c>
      <c r="J9" s="63">
        <f>I9/$I$29*100</f>
        <v>4.2250308776269785</v>
      </c>
      <c r="K9" s="63">
        <f>J9*0.3</f>
        <v>1.2675092632880935</v>
      </c>
      <c r="L9" s="68">
        <f>Datos!$L$18*FGP!K9/100</f>
        <v>171699.31605773303</v>
      </c>
      <c r="M9" s="69">
        <f>F9+L9</f>
        <v>428451.41250358627</v>
      </c>
      <c r="N9" s="63">
        <f>K9+E9</f>
        <v>3.1628904918558933</v>
      </c>
      <c r="O9" s="63">
        <f>MINVERSE(N9)</f>
        <v>0.31616649472212005</v>
      </c>
      <c r="P9" s="63">
        <f>O9/O$29*100</f>
        <v>5.0078061032905623</v>
      </c>
      <c r="Q9" s="63">
        <f>P9*0.1</f>
        <v>0.5007806103290563</v>
      </c>
      <c r="R9" s="70">
        <f>$R$29*P9/100</f>
        <v>67836.733646758177</v>
      </c>
      <c r="S9" s="71">
        <f>F9+L9+R9</f>
        <v>496288.14615034446</v>
      </c>
      <c r="T9" s="72" t="e">
        <f>#REF!+K9+E9</f>
        <v>#REF!</v>
      </c>
      <c r="U9" s="73"/>
      <c r="V9" s="74"/>
      <c r="W9" s="74"/>
    </row>
    <row r="10" spans="2:23" s="75" customFormat="1" ht="16.5" customHeight="1" x14ac:dyDescent="0.25">
      <c r="B10" s="61" t="s">
        <v>69</v>
      </c>
      <c r="C10" s="62">
        <f>'CENSO 2015'!C11</f>
        <v>15953</v>
      </c>
      <c r="D10" s="63">
        <f t="shared" ref="D10:D28" si="0">C10/$C$29*100</f>
        <v>1.3507472164599297</v>
      </c>
      <c r="E10" s="64">
        <f t="shared" ref="E10:E28" si="1">D10*0.6</f>
        <v>0.81044832987595783</v>
      </c>
      <c r="F10" s="65">
        <f>Datos!$L$18*FGP!E10/100</f>
        <v>109784.93646575083</v>
      </c>
      <c r="G10" s="66">
        <f>'Predial y Agua'!D10</f>
        <v>5967368</v>
      </c>
      <c r="H10" s="67">
        <f>'Predial y Agua'!G10</f>
        <v>6496081</v>
      </c>
      <c r="I10" s="63">
        <f t="shared" ref="I10:I28" si="2">H10/G10</f>
        <v>1.0886007030235105</v>
      </c>
      <c r="J10" s="63">
        <f t="shared" ref="J10:J28" si="3">I10/$I$29*100</f>
        <v>4.4181751925055499</v>
      </c>
      <c r="K10" s="76">
        <f t="shared" ref="K10:K28" si="4">J10*0.3</f>
        <v>1.3254525577516649</v>
      </c>
      <c r="L10" s="68">
        <f>Datos!$L$18*FGP!K10/100</f>
        <v>179548.42952592057</v>
      </c>
      <c r="M10" s="77">
        <f t="shared" ref="M10:M29" si="5">F10+L10</f>
        <v>289333.3659916714</v>
      </c>
      <c r="N10" s="76">
        <f t="shared" ref="N10:N28" si="6">K10+E10</f>
        <v>2.1359008876276229</v>
      </c>
      <c r="O10" s="76">
        <f t="shared" ref="O10:O28" si="7">MINVERSE(N10)</f>
        <v>0.46818651829426178</v>
      </c>
      <c r="P10" s="76">
        <f t="shared" ref="P10:P28" si="8">O10/O$29*100</f>
        <v>7.4156728904909102</v>
      </c>
      <c r="Q10" s="76">
        <f t="shared" ref="Q10:Q28" si="9">P10*0.1</f>
        <v>0.74156728904909108</v>
      </c>
      <c r="R10" s="70">
        <f t="shared" ref="R10:R28" si="10">$R$29*P10/100</f>
        <v>100454.1742047813</v>
      </c>
      <c r="S10" s="71">
        <f t="shared" ref="S10:S28" si="11">F10+L10+R10</f>
        <v>389787.5401964527</v>
      </c>
      <c r="T10" s="72" t="e">
        <f>#REF!+K10+E10</f>
        <v>#REF!</v>
      </c>
      <c r="U10" s="73"/>
      <c r="V10" s="74"/>
      <c r="W10" s="74"/>
    </row>
    <row r="11" spans="2:23" s="75" customFormat="1" ht="16.5" customHeight="1" x14ac:dyDescent="0.25">
      <c r="B11" s="61" t="s">
        <v>70</v>
      </c>
      <c r="C11" s="62">
        <f>'CENSO 2015'!C12</f>
        <v>11851</v>
      </c>
      <c r="D11" s="63">
        <f t="shared" si="0"/>
        <v>1.0034291520257399</v>
      </c>
      <c r="E11" s="64">
        <f t="shared" si="1"/>
        <v>0.60205749121544394</v>
      </c>
      <c r="F11" s="65">
        <f>Datos!$L$18*FGP!E11/100</f>
        <v>81555.900586448508</v>
      </c>
      <c r="G11" s="66">
        <f>'Predial y Agua'!D11</f>
        <v>1073953</v>
      </c>
      <c r="H11" s="67">
        <f>'Predial y Agua'!G11</f>
        <v>3306953</v>
      </c>
      <c r="I11" s="63">
        <f t="shared" si="2"/>
        <v>3.0792343799030313</v>
      </c>
      <c r="J11" s="63">
        <f t="shared" si="3"/>
        <v>12.497325154587893</v>
      </c>
      <c r="K11" s="76">
        <f t="shared" si="4"/>
        <v>3.7491975463763678</v>
      </c>
      <c r="L11" s="68">
        <f>Datos!$L$18*FGP!K11/100</f>
        <v>507873.72772978159</v>
      </c>
      <c r="M11" s="77">
        <f t="shared" si="5"/>
        <v>589429.62831623014</v>
      </c>
      <c r="N11" s="76">
        <f t="shared" si="6"/>
        <v>4.3512550375918115</v>
      </c>
      <c r="O11" s="76">
        <f t="shared" si="7"/>
        <v>0.22981875145462557</v>
      </c>
      <c r="P11" s="76">
        <f t="shared" si="8"/>
        <v>3.6401319096022822</v>
      </c>
      <c r="Q11" s="76">
        <f t="shared" si="9"/>
        <v>0.36401319096022822</v>
      </c>
      <c r="R11" s="70">
        <f t="shared" si="10"/>
        <v>49309.948048607104</v>
      </c>
      <c r="S11" s="71">
        <f t="shared" si="11"/>
        <v>638739.57636483724</v>
      </c>
      <c r="T11" s="72" t="e">
        <f>#REF!+K11+E11</f>
        <v>#REF!</v>
      </c>
      <c r="U11" s="73"/>
      <c r="V11" s="74"/>
      <c r="W11" s="74"/>
    </row>
    <row r="12" spans="2:23" s="75" customFormat="1" ht="16.5" customHeight="1" x14ac:dyDescent="0.25">
      <c r="B12" s="61" t="s">
        <v>71</v>
      </c>
      <c r="C12" s="62">
        <f>'CENSO 2015'!C13</f>
        <v>150250</v>
      </c>
      <c r="D12" s="63">
        <f t="shared" si="0"/>
        <v>12.721730663392744</v>
      </c>
      <c r="E12" s="64">
        <f t="shared" si="1"/>
        <v>7.6330383980356462</v>
      </c>
      <c r="F12" s="65">
        <f>Datos!$L$18*FGP!E12/100</f>
        <v>1033986.5043552348</v>
      </c>
      <c r="G12" s="66">
        <f>'Predial y Agua'!D12</f>
        <v>268805705</v>
      </c>
      <c r="H12" s="67">
        <f>'Predial y Agua'!G12</f>
        <v>293520012</v>
      </c>
      <c r="I12" s="63">
        <f t="shared" si="2"/>
        <v>1.0919411550435658</v>
      </c>
      <c r="J12" s="63">
        <f t="shared" si="3"/>
        <v>4.4317326908663102</v>
      </c>
      <c r="K12" s="76">
        <f t="shared" si="4"/>
        <v>1.329519807259893</v>
      </c>
      <c r="L12" s="68">
        <f>Datos!$L$18*FGP!K12/100</f>
        <v>180099.38720254324</v>
      </c>
      <c r="M12" s="77">
        <f t="shared" si="5"/>
        <v>1214085.891557778</v>
      </c>
      <c r="N12" s="76">
        <f t="shared" si="6"/>
        <v>8.9625582052955401</v>
      </c>
      <c r="O12" s="76">
        <f t="shared" si="7"/>
        <v>0.11157528655257698</v>
      </c>
      <c r="P12" s="76">
        <f t="shared" si="8"/>
        <v>1.7672568418910855</v>
      </c>
      <c r="Q12" s="76">
        <f t="shared" si="9"/>
        <v>0.17672568418910856</v>
      </c>
      <c r="R12" s="70">
        <f t="shared" si="10"/>
        <v>23939.61131801844</v>
      </c>
      <c r="S12" s="71">
        <f t="shared" si="11"/>
        <v>1238025.5028757965</v>
      </c>
      <c r="T12" s="72" t="e">
        <f>#REF!+K12+E12</f>
        <v>#REF!</v>
      </c>
      <c r="U12" s="73"/>
      <c r="V12" s="74"/>
      <c r="W12" s="74"/>
    </row>
    <row r="13" spans="2:23" s="75" customFormat="1" ht="16.5" customHeight="1" x14ac:dyDescent="0.25">
      <c r="B13" s="61" t="s">
        <v>72</v>
      </c>
      <c r="C13" s="62">
        <f>'CENSO 2015'!C14</f>
        <v>75520</v>
      </c>
      <c r="D13" s="63">
        <f t="shared" si="0"/>
        <v>6.3943101477498834</v>
      </c>
      <c r="E13" s="64">
        <f t="shared" si="1"/>
        <v>3.8365860886499297</v>
      </c>
      <c r="F13" s="65">
        <f>Datos!$L$18*FGP!E13/100</f>
        <v>519711.55280470761</v>
      </c>
      <c r="G13" s="66">
        <f>'Predial y Agua'!D13</f>
        <v>25483741</v>
      </c>
      <c r="H13" s="67">
        <f>'Predial y Agua'!G13</f>
        <v>26126480</v>
      </c>
      <c r="I13" s="63">
        <f t="shared" si="2"/>
        <v>1.0252215324272838</v>
      </c>
      <c r="J13" s="63">
        <f t="shared" si="3"/>
        <v>4.160945633060944</v>
      </c>
      <c r="K13" s="76">
        <f t="shared" si="4"/>
        <v>1.2482836899182832</v>
      </c>
      <c r="L13" s="68">
        <f>Datos!$L$18*FGP!K13/100</f>
        <v>169094.98179839129</v>
      </c>
      <c r="M13" s="77">
        <f t="shared" si="5"/>
        <v>688806.53460309887</v>
      </c>
      <c r="N13" s="76">
        <f t="shared" si="6"/>
        <v>5.0848697785682129</v>
      </c>
      <c r="O13" s="76">
        <f t="shared" si="7"/>
        <v>0.19666187012592048</v>
      </c>
      <c r="P13" s="76">
        <f t="shared" si="8"/>
        <v>3.1149553477091372</v>
      </c>
      <c r="Q13" s="76">
        <f t="shared" si="9"/>
        <v>0.31149553477091374</v>
      </c>
      <c r="R13" s="70">
        <f t="shared" si="10"/>
        <v>42195.802290596235</v>
      </c>
      <c r="S13" s="71">
        <f t="shared" si="11"/>
        <v>731002.33689369506</v>
      </c>
      <c r="T13" s="72" t="e">
        <f>#REF!+K13+E13</f>
        <v>#REF!</v>
      </c>
      <c r="U13" s="73"/>
      <c r="V13" s="74"/>
      <c r="W13" s="74"/>
    </row>
    <row r="14" spans="2:23" s="75" customFormat="1" ht="16.5" customHeight="1" x14ac:dyDescent="0.25">
      <c r="B14" s="61" t="s">
        <v>73</v>
      </c>
      <c r="C14" s="62">
        <f>'CENSO 2015'!C15</f>
        <v>42514</v>
      </c>
      <c r="D14" s="63">
        <f t="shared" si="0"/>
        <v>3.5996782524025233</v>
      </c>
      <c r="E14" s="64">
        <f t="shared" si="1"/>
        <v>2.1598069514415137</v>
      </c>
      <c r="F14" s="65">
        <f>Datos!$L$18*FGP!E14/100</f>
        <v>292571.72875979001</v>
      </c>
      <c r="G14" s="66">
        <f>'Predial y Agua'!D14</f>
        <v>146487</v>
      </c>
      <c r="H14" s="67">
        <f>'Predial y Agua'!G14</f>
        <v>115798</v>
      </c>
      <c r="I14" s="63">
        <f t="shared" si="2"/>
        <v>0.79050018090342489</v>
      </c>
      <c r="J14" s="63">
        <f t="shared" si="3"/>
        <v>3.2083097863507741</v>
      </c>
      <c r="K14" s="76">
        <f t="shared" si="4"/>
        <v>0.96249293590523222</v>
      </c>
      <c r="L14" s="68">
        <f>Datos!$L$18*FGP!K14/100</f>
        <v>130381.20003685202</v>
      </c>
      <c r="M14" s="77">
        <f t="shared" si="5"/>
        <v>422952.92879664205</v>
      </c>
      <c r="N14" s="76">
        <f t="shared" si="6"/>
        <v>3.1222998873467458</v>
      </c>
      <c r="O14" s="76">
        <f t="shared" si="7"/>
        <v>0.32027673064094286</v>
      </c>
      <c r="P14" s="76">
        <f t="shared" si="8"/>
        <v>5.0729087149329999</v>
      </c>
      <c r="Q14" s="76">
        <f t="shared" si="9"/>
        <v>0.50729087149329999</v>
      </c>
      <c r="R14" s="70">
        <f t="shared" si="10"/>
        <v>68718.626522521561</v>
      </c>
      <c r="S14" s="71">
        <f t="shared" si="11"/>
        <v>491671.5553191636</v>
      </c>
      <c r="T14" s="72" t="e">
        <f>#REF!+K14+E14</f>
        <v>#REF!</v>
      </c>
      <c r="U14" s="73"/>
      <c r="V14" s="74"/>
      <c r="W14" s="74"/>
    </row>
    <row r="15" spans="2:23" s="75" customFormat="1" ht="16.5" customHeight="1" x14ac:dyDescent="0.25">
      <c r="B15" s="61" t="s">
        <v>74</v>
      </c>
      <c r="C15" s="62">
        <f>'CENSO 2015'!C16</f>
        <v>12614</v>
      </c>
      <c r="D15" s="63">
        <f t="shared" si="0"/>
        <v>1.0680326827822699</v>
      </c>
      <c r="E15" s="64">
        <f t="shared" si="1"/>
        <v>0.64081960966936191</v>
      </c>
      <c r="F15" s="65">
        <f>Datos!$L$18*FGP!E15/100</f>
        <v>86806.693949663415</v>
      </c>
      <c r="G15" s="66">
        <f>'Predial y Agua'!D15</f>
        <v>37508</v>
      </c>
      <c r="H15" s="67">
        <f>'Predial y Agua'!G15</f>
        <v>92213</v>
      </c>
      <c r="I15" s="63">
        <f t="shared" si="2"/>
        <v>2.4584888557107818</v>
      </c>
      <c r="J15" s="63">
        <f t="shared" si="3"/>
        <v>9.9779785583310847</v>
      </c>
      <c r="K15" s="76">
        <f t="shared" si="4"/>
        <v>2.9933935674993255</v>
      </c>
      <c r="L15" s="68">
        <f>Datos!$L$18*FGP!K15/100</f>
        <v>405491.02331446426</v>
      </c>
      <c r="M15" s="77">
        <f t="shared" si="5"/>
        <v>492297.71726412768</v>
      </c>
      <c r="N15" s="76">
        <f t="shared" si="6"/>
        <v>3.6342131771686876</v>
      </c>
      <c r="O15" s="76">
        <f t="shared" si="7"/>
        <v>0.27516272470815034</v>
      </c>
      <c r="P15" s="76">
        <f t="shared" si="8"/>
        <v>4.3583415548274083</v>
      </c>
      <c r="Q15" s="76">
        <f t="shared" si="9"/>
        <v>0.43583415548274085</v>
      </c>
      <c r="R15" s="70">
        <f t="shared" si="10"/>
        <v>59038.958198112625</v>
      </c>
      <c r="S15" s="71">
        <f t="shared" si="11"/>
        <v>551336.67546224035</v>
      </c>
      <c r="T15" s="72" t="e">
        <f>#REF!+K15+E15</f>
        <v>#REF!</v>
      </c>
      <c r="U15" s="73"/>
      <c r="V15" s="74"/>
      <c r="W15" s="74"/>
    </row>
    <row r="16" spans="2:23" s="75" customFormat="1" ht="16.5" customHeight="1" x14ac:dyDescent="0.25">
      <c r="B16" s="61" t="s">
        <v>75</v>
      </c>
      <c r="C16" s="62">
        <f>'CENSO 2015'!C17</f>
        <v>29416</v>
      </c>
      <c r="D16" s="63">
        <f t="shared" si="0"/>
        <v>2.4906650861521529</v>
      </c>
      <c r="E16" s="64">
        <f t="shared" si="1"/>
        <v>1.4943990516912917</v>
      </c>
      <c r="F16" s="65">
        <f>Datos!$L$18*FGP!E16/100</f>
        <v>202434.25632022356</v>
      </c>
      <c r="G16" s="66">
        <f>'Predial y Agua'!D16</f>
        <v>12917753</v>
      </c>
      <c r="H16" s="67">
        <f>'Predial y Agua'!G16</f>
        <v>11680521</v>
      </c>
      <c r="I16" s="63">
        <f t="shared" si="2"/>
        <v>0.90422235198335188</v>
      </c>
      <c r="J16" s="63">
        <f t="shared" si="3"/>
        <v>3.6698605401833797</v>
      </c>
      <c r="K16" s="76">
        <f t="shared" si="4"/>
        <v>1.100958162055014</v>
      </c>
      <c r="L16" s="68">
        <f>Datos!$L$18*FGP!K16/100</f>
        <v>149137.97390533076</v>
      </c>
      <c r="M16" s="77">
        <f t="shared" si="5"/>
        <v>351572.23022555432</v>
      </c>
      <c r="N16" s="76">
        <f t="shared" si="6"/>
        <v>2.5953572137463059</v>
      </c>
      <c r="O16" s="76">
        <f t="shared" si="7"/>
        <v>0.38530341592421319</v>
      </c>
      <c r="P16" s="76">
        <f t="shared" si="8"/>
        <v>6.1028756370273953</v>
      </c>
      <c r="Q16" s="76">
        <f t="shared" si="9"/>
        <v>0.61028756370273962</v>
      </c>
      <c r="R16" s="70">
        <f t="shared" si="10"/>
        <v>82670.762511408684</v>
      </c>
      <c r="S16" s="71">
        <f t="shared" si="11"/>
        <v>434242.99273696297</v>
      </c>
      <c r="T16" s="72" t="e">
        <f>#REF!+K16+E16</f>
        <v>#REF!</v>
      </c>
      <c r="U16" s="73"/>
      <c r="V16" s="74"/>
      <c r="W16" s="74"/>
    </row>
    <row r="17" spans="2:23" s="75" customFormat="1" ht="16.5" customHeight="1" x14ac:dyDescent="0.25">
      <c r="B17" s="61" t="s">
        <v>76</v>
      </c>
      <c r="C17" s="62">
        <f>'CENSO 2015'!C18</f>
        <v>18580</v>
      </c>
      <c r="D17" s="63">
        <f t="shared" si="0"/>
        <v>1.5731764108208799</v>
      </c>
      <c r="E17" s="64">
        <f t="shared" si="1"/>
        <v>0.94390584649252784</v>
      </c>
      <c r="F17" s="65">
        <f>Datos!$L$18*FGP!E17/100</f>
        <v>127863.35607933618</v>
      </c>
      <c r="G17" s="66">
        <f>'Predial y Agua'!D17</f>
        <v>2600496</v>
      </c>
      <c r="H17" s="67">
        <f>'Predial y Agua'!G17</f>
        <v>3420820</v>
      </c>
      <c r="I17" s="63">
        <f t="shared" si="2"/>
        <v>1.315449052796082</v>
      </c>
      <c r="J17" s="63">
        <f t="shared" si="3"/>
        <v>5.3388578162098188</v>
      </c>
      <c r="K17" s="76">
        <f t="shared" si="4"/>
        <v>1.6016573448629456</v>
      </c>
      <c r="L17" s="68">
        <f>Datos!$L$18*FGP!K17/100</f>
        <v>216963.6772187491</v>
      </c>
      <c r="M17" s="77">
        <f t="shared" si="5"/>
        <v>344827.03329808527</v>
      </c>
      <c r="N17" s="76">
        <f t="shared" si="6"/>
        <v>2.5455631913554733</v>
      </c>
      <c r="O17" s="76">
        <f t="shared" si="7"/>
        <v>0.39284037551922463</v>
      </c>
      <c r="P17" s="76">
        <f t="shared" si="8"/>
        <v>6.2222546126311373</v>
      </c>
      <c r="Q17" s="76">
        <f t="shared" si="9"/>
        <v>0.62222546126311373</v>
      </c>
      <c r="R17" s="70">
        <f t="shared" si="10"/>
        <v>84287.893766896523</v>
      </c>
      <c r="S17" s="71">
        <f t="shared" si="11"/>
        <v>429114.92706498178</v>
      </c>
      <c r="T17" s="72" t="e">
        <f>#REF!+K17+E17</f>
        <v>#REF!</v>
      </c>
      <c r="U17" s="73"/>
      <c r="V17" s="74"/>
      <c r="W17" s="74"/>
    </row>
    <row r="18" spans="2:23" s="75" customFormat="1" ht="16.5" customHeight="1" x14ac:dyDescent="0.25">
      <c r="B18" s="61" t="s">
        <v>77</v>
      </c>
      <c r="C18" s="62">
        <f>'CENSO 2015'!C19</f>
        <v>14315</v>
      </c>
      <c r="D18" s="63">
        <f t="shared" si="0"/>
        <v>1.212057067863342</v>
      </c>
      <c r="E18" s="64">
        <f t="shared" si="1"/>
        <v>0.72723424071800513</v>
      </c>
      <c r="F18" s="65">
        <f>Datos!$L$18*FGP!E18/100</f>
        <v>98512.591080500395</v>
      </c>
      <c r="G18" s="66">
        <f>'Predial y Agua'!D18</f>
        <v>2200274</v>
      </c>
      <c r="H18" s="67">
        <f>'Predial y Agua'!G18</f>
        <v>2366788</v>
      </c>
      <c r="I18" s="63">
        <f t="shared" si="2"/>
        <v>1.0756787563730699</v>
      </c>
      <c r="J18" s="63">
        <f t="shared" si="3"/>
        <v>4.3657304127334173</v>
      </c>
      <c r="K18" s="76">
        <f t="shared" si="4"/>
        <v>1.3097191238200252</v>
      </c>
      <c r="L18" s="68">
        <f>Datos!$L$18*FGP!K18/100</f>
        <v>177417.14739367468</v>
      </c>
      <c r="M18" s="77">
        <f t="shared" si="5"/>
        <v>275929.7384741751</v>
      </c>
      <c r="N18" s="76">
        <f t="shared" si="6"/>
        <v>2.0369533645380304</v>
      </c>
      <c r="O18" s="76">
        <f t="shared" si="7"/>
        <v>0.49092925611814109</v>
      </c>
      <c r="P18" s="76">
        <f t="shared" si="8"/>
        <v>7.7758983513831499</v>
      </c>
      <c r="Q18" s="76">
        <f t="shared" si="9"/>
        <v>0.77758983513831503</v>
      </c>
      <c r="R18" s="70">
        <f t="shared" si="10"/>
        <v>105333.859667697</v>
      </c>
      <c r="S18" s="71">
        <f t="shared" si="11"/>
        <v>381263.59814187209</v>
      </c>
      <c r="T18" s="72" t="e">
        <f>#REF!+K18+E18</f>
        <v>#REF!</v>
      </c>
      <c r="U18" s="73"/>
      <c r="V18" s="74"/>
      <c r="W18" s="74"/>
    </row>
    <row r="19" spans="2:23" s="75" customFormat="1" ht="16.5" customHeight="1" x14ac:dyDescent="0.25">
      <c r="B19" s="61" t="s">
        <v>78</v>
      </c>
      <c r="C19" s="62">
        <f>'CENSO 2015'!C20</f>
        <v>33901</v>
      </c>
      <c r="D19" s="63">
        <f t="shared" si="0"/>
        <v>2.8704119215951907</v>
      </c>
      <c r="E19" s="64">
        <f t="shared" si="1"/>
        <v>1.7222471529571144</v>
      </c>
      <c r="F19" s="65">
        <f>Datos!$L$18*FGP!E19/100</f>
        <v>233299.01154174248</v>
      </c>
      <c r="G19" s="66">
        <f>'Predial y Agua'!D19</f>
        <v>1759253</v>
      </c>
      <c r="H19" s="67">
        <f>'Predial y Agua'!G19</f>
        <v>2337928</v>
      </c>
      <c r="I19" s="63">
        <f t="shared" si="2"/>
        <v>1.3289322229378038</v>
      </c>
      <c r="J19" s="63">
        <f t="shared" si="3"/>
        <v>5.3935803675282523</v>
      </c>
      <c r="K19" s="76">
        <f t="shared" si="4"/>
        <v>1.6180741102584757</v>
      </c>
      <c r="L19" s="68">
        <f>Datos!$L$18*FGP!K19/100</f>
        <v>219187.52478494405</v>
      </c>
      <c r="M19" s="77">
        <f t="shared" si="5"/>
        <v>452486.5363266865</v>
      </c>
      <c r="N19" s="76">
        <f t="shared" si="6"/>
        <v>3.3403212632155901</v>
      </c>
      <c r="O19" s="76">
        <f t="shared" si="7"/>
        <v>0.29937240199385523</v>
      </c>
      <c r="P19" s="76">
        <f t="shared" si="8"/>
        <v>4.7418020786144206</v>
      </c>
      <c r="Q19" s="76">
        <f t="shared" si="9"/>
        <v>0.4741802078614421</v>
      </c>
      <c r="R19" s="70">
        <f t="shared" si="10"/>
        <v>64233.390426447761</v>
      </c>
      <c r="S19" s="71">
        <f t="shared" si="11"/>
        <v>516719.92675313423</v>
      </c>
      <c r="T19" s="72" t="e">
        <f>#REF!+K19+E19</f>
        <v>#REF!</v>
      </c>
      <c r="U19" s="73"/>
      <c r="V19" s="74"/>
      <c r="W19" s="74"/>
    </row>
    <row r="20" spans="2:23" s="75" customFormat="1" ht="16.5" customHeight="1" x14ac:dyDescent="0.25">
      <c r="B20" s="61" t="s">
        <v>79</v>
      </c>
      <c r="C20" s="62">
        <f>'CENSO 2015'!C21</f>
        <v>24743</v>
      </c>
      <c r="D20" s="63">
        <f t="shared" si="0"/>
        <v>2.0950002116760511</v>
      </c>
      <c r="E20" s="64">
        <f t="shared" si="1"/>
        <v>1.2570001270056306</v>
      </c>
      <c r="F20" s="65">
        <f>Datos!$L$18*FGP!E20/100</f>
        <v>170275.72763568434</v>
      </c>
      <c r="G20" s="66">
        <f>'Predial y Agua'!D20</f>
        <v>2805300</v>
      </c>
      <c r="H20" s="67">
        <f>'Predial y Agua'!G20</f>
        <v>2694457</v>
      </c>
      <c r="I20" s="63">
        <f t="shared" si="2"/>
        <v>0.96048800484796637</v>
      </c>
      <c r="J20" s="63">
        <f t="shared" si="3"/>
        <v>3.8982193047755054</v>
      </c>
      <c r="K20" s="76">
        <f t="shared" si="4"/>
        <v>1.1694657914326516</v>
      </c>
      <c r="L20" s="68">
        <f>Datos!$L$18*FGP!K20/100</f>
        <v>158418.15311156627</v>
      </c>
      <c r="M20" s="77">
        <f t="shared" si="5"/>
        <v>328693.88074725063</v>
      </c>
      <c r="N20" s="76">
        <f t="shared" si="6"/>
        <v>2.4264659184382822</v>
      </c>
      <c r="O20" s="76">
        <f t="shared" si="7"/>
        <v>0.41212200525924481</v>
      </c>
      <c r="P20" s="76">
        <f t="shared" si="8"/>
        <v>6.5276590900357645</v>
      </c>
      <c r="Q20" s="76">
        <f t="shared" si="9"/>
        <v>0.65276590900357645</v>
      </c>
      <c r="R20" s="70">
        <f t="shared" si="10"/>
        <v>88424.963326081677</v>
      </c>
      <c r="S20" s="71">
        <f t="shared" si="11"/>
        <v>417118.84407333232</v>
      </c>
      <c r="T20" s="72" t="e">
        <f>#REF!+K20+E20</f>
        <v>#REF!</v>
      </c>
      <c r="U20" s="73"/>
      <c r="V20" s="74"/>
      <c r="W20" s="74"/>
    </row>
    <row r="21" spans="2:23" s="75" customFormat="1" ht="16.5" customHeight="1" x14ac:dyDescent="0.25">
      <c r="B21" s="61" t="s">
        <v>80</v>
      </c>
      <c r="C21" s="62">
        <f>'CENSO 2015'!C22</f>
        <v>43979</v>
      </c>
      <c r="D21" s="63">
        <f t="shared" si="0"/>
        <v>3.7237204182718768</v>
      </c>
      <c r="E21" s="64">
        <f t="shared" si="1"/>
        <v>2.2342322509631258</v>
      </c>
      <c r="F21" s="65">
        <f>Datos!$L$18*FGP!E21/100</f>
        <v>302653.52728811221</v>
      </c>
      <c r="G21" s="66">
        <f>'Predial y Agua'!D21</f>
        <v>6318753</v>
      </c>
      <c r="H21" s="67">
        <f>'Predial y Agua'!G21</f>
        <v>6665469</v>
      </c>
      <c r="I21" s="63">
        <f t="shared" si="2"/>
        <v>1.0548709531769955</v>
      </c>
      <c r="J21" s="63">
        <f t="shared" si="3"/>
        <v>4.2812802377187422</v>
      </c>
      <c r="K21" s="76">
        <f t="shared" si="4"/>
        <v>1.2843840713156227</v>
      </c>
      <c r="L21" s="68">
        <f>Datos!$L$18*FGP!K21/100</f>
        <v>173985.21098635555</v>
      </c>
      <c r="M21" s="77">
        <f t="shared" si="5"/>
        <v>476638.73827446776</v>
      </c>
      <c r="N21" s="76">
        <f t="shared" si="6"/>
        <v>3.5186163222787483</v>
      </c>
      <c r="O21" s="76">
        <f t="shared" si="7"/>
        <v>0.28420262637569238</v>
      </c>
      <c r="P21" s="76">
        <f t="shared" si="8"/>
        <v>4.5015258438003798</v>
      </c>
      <c r="Q21" s="76">
        <f t="shared" si="9"/>
        <v>0.45015258438003802</v>
      </c>
      <c r="R21" s="70">
        <f t="shared" si="10"/>
        <v>60978.560944927747</v>
      </c>
      <c r="S21" s="71">
        <f t="shared" si="11"/>
        <v>537617.2992193955</v>
      </c>
      <c r="T21" s="72" t="e">
        <f>#REF!+K21+E21</f>
        <v>#REF!</v>
      </c>
      <c r="U21" s="73"/>
      <c r="V21" s="74"/>
      <c r="W21" s="74"/>
    </row>
    <row r="22" spans="2:23" s="75" customFormat="1" ht="16.5" customHeight="1" x14ac:dyDescent="0.25">
      <c r="B22" s="61" t="s">
        <v>81</v>
      </c>
      <c r="C22" s="62">
        <f>'CENSO 2015'!C23</f>
        <v>7499</v>
      </c>
      <c r="D22" s="63">
        <f t="shared" si="0"/>
        <v>0.63494348249439059</v>
      </c>
      <c r="E22" s="64">
        <f t="shared" si="1"/>
        <v>0.38096608949663435</v>
      </c>
      <c r="F22" s="65">
        <f>Datos!$L$18*FGP!E22/100</f>
        <v>51606.421272278902</v>
      </c>
      <c r="G22" s="66">
        <f>'Predial y Agua'!D22</f>
        <v>1976515</v>
      </c>
      <c r="H22" s="67">
        <f>'Predial y Agua'!G22</f>
        <v>1821386</v>
      </c>
      <c r="I22" s="63">
        <f t="shared" si="2"/>
        <v>0.92151387669711593</v>
      </c>
      <c r="J22" s="63">
        <f t="shared" si="3"/>
        <v>3.7400396107266571</v>
      </c>
      <c r="K22" s="76">
        <f t="shared" si="4"/>
        <v>1.1220118832179971</v>
      </c>
      <c r="L22" s="68">
        <f>Datos!$L$18*FGP!K22/100</f>
        <v>151989.9526867535</v>
      </c>
      <c r="M22" s="77">
        <f t="shared" si="5"/>
        <v>203596.37395903241</v>
      </c>
      <c r="N22" s="76">
        <f t="shared" si="6"/>
        <v>1.5029779727146315</v>
      </c>
      <c r="O22" s="76">
        <f t="shared" si="7"/>
        <v>0.66534574568237448</v>
      </c>
      <c r="P22" s="76">
        <f t="shared" si="8"/>
        <v>10.5385059506544</v>
      </c>
      <c r="Q22" s="76">
        <f t="shared" si="9"/>
        <v>1.05385059506544</v>
      </c>
      <c r="R22" s="70">
        <f t="shared" si="10"/>
        <v>142756.68954905597</v>
      </c>
      <c r="S22" s="71">
        <f t="shared" si="11"/>
        <v>346353.06350808835</v>
      </c>
      <c r="T22" s="72" t="e">
        <f>#REF!+K22+E22</f>
        <v>#REF!</v>
      </c>
      <c r="U22" s="73"/>
      <c r="V22" s="74"/>
      <c r="W22" s="74"/>
    </row>
    <row r="23" spans="2:23" s="75" customFormat="1" ht="16.5" customHeight="1" x14ac:dyDescent="0.25">
      <c r="B23" s="61" t="s">
        <v>82</v>
      </c>
      <c r="C23" s="62">
        <f>'CENSO 2015'!C24</f>
        <v>23477</v>
      </c>
      <c r="D23" s="63">
        <f t="shared" si="0"/>
        <v>1.9878074594640365</v>
      </c>
      <c r="E23" s="64">
        <f t="shared" si="1"/>
        <v>1.1926844756784218</v>
      </c>
      <c r="F23" s="65">
        <f>Datos!$L$18*FGP!E23/100</f>
        <v>161563.40208151645</v>
      </c>
      <c r="G23" s="66">
        <f>'Predial y Agua'!D23</f>
        <v>4697523</v>
      </c>
      <c r="H23" s="67">
        <f>'Predial y Agua'!G23</f>
        <v>4577159</v>
      </c>
      <c r="I23" s="63">
        <f t="shared" si="2"/>
        <v>0.97437713450258789</v>
      </c>
      <c r="J23" s="63">
        <f t="shared" si="3"/>
        <v>3.9545894760560363</v>
      </c>
      <c r="K23" s="76">
        <f t="shared" si="4"/>
        <v>1.1863768428168109</v>
      </c>
      <c r="L23" s="68">
        <f>Datos!$L$18*FGP!K23/100</f>
        <v>160708.95763708503</v>
      </c>
      <c r="M23" s="77">
        <f t="shared" si="5"/>
        <v>322272.35971860145</v>
      </c>
      <c r="N23" s="76">
        <f t="shared" si="6"/>
        <v>2.3790613184952329</v>
      </c>
      <c r="O23" s="76">
        <f t="shared" si="7"/>
        <v>0.420333848575414</v>
      </c>
      <c r="P23" s="76">
        <f t="shared" si="8"/>
        <v>6.6577276449410565</v>
      </c>
      <c r="Q23" s="76">
        <f t="shared" si="9"/>
        <v>0.66577276449410572</v>
      </c>
      <c r="R23" s="70">
        <f t="shared" si="10"/>
        <v>90186.89774066121</v>
      </c>
      <c r="S23" s="71">
        <f t="shared" si="11"/>
        <v>412459.25745926268</v>
      </c>
      <c r="T23" s="72" t="e">
        <f>#REF!+K23+E23</f>
        <v>#REF!</v>
      </c>
      <c r="U23" s="73"/>
      <c r="V23" s="74"/>
      <c r="W23" s="74"/>
    </row>
    <row r="24" spans="2:23" s="75" customFormat="1" ht="16.5" customHeight="1" x14ac:dyDescent="0.25">
      <c r="B24" s="61" t="s">
        <v>83</v>
      </c>
      <c r="C24" s="62">
        <f>'CENSO 2015'!C25</f>
        <v>97820</v>
      </c>
      <c r="D24" s="63">
        <f t="shared" si="0"/>
        <v>8.2824605224164927</v>
      </c>
      <c r="E24" s="64">
        <f t="shared" si="1"/>
        <v>4.9694763134498956</v>
      </c>
      <c r="F24" s="65">
        <f>Datos!$L$18*FGP!E24/100</f>
        <v>673175.10719486896</v>
      </c>
      <c r="G24" s="66">
        <f>'Predial y Agua'!D24</f>
        <v>16009888</v>
      </c>
      <c r="H24" s="67">
        <f>'Predial y Agua'!G24</f>
        <v>16215080</v>
      </c>
      <c r="I24" s="63">
        <f t="shared" si="2"/>
        <v>1.0128165793539592</v>
      </c>
      <c r="J24" s="63">
        <f t="shared" si="3"/>
        <v>4.1105991141026745</v>
      </c>
      <c r="K24" s="76">
        <f t="shared" si="4"/>
        <v>1.2331797342308024</v>
      </c>
      <c r="L24" s="68">
        <f>Datos!$L$18*FGP!K24/100</f>
        <v>167048.97003625295</v>
      </c>
      <c r="M24" s="77">
        <f t="shared" si="5"/>
        <v>840224.07723112195</v>
      </c>
      <c r="N24" s="76">
        <f t="shared" si="6"/>
        <v>6.2026560476806978</v>
      </c>
      <c r="O24" s="76">
        <f t="shared" si="7"/>
        <v>0.16122125623488678</v>
      </c>
      <c r="P24" s="76">
        <f t="shared" si="8"/>
        <v>2.5536064207652163</v>
      </c>
      <c r="Q24" s="76">
        <f t="shared" si="9"/>
        <v>0.25536064207652165</v>
      </c>
      <c r="R24" s="70">
        <f t="shared" si="10"/>
        <v>34591.658508957735</v>
      </c>
      <c r="S24" s="71">
        <f t="shared" si="11"/>
        <v>874815.73574007966</v>
      </c>
      <c r="T24" s="72" t="e">
        <f>#REF!+K24+E24</f>
        <v>#REF!</v>
      </c>
      <c r="U24" s="73"/>
      <c r="V24" s="74"/>
      <c r="W24" s="74"/>
    </row>
    <row r="25" spans="2:23" s="75" customFormat="1" ht="16.5" customHeight="1" x14ac:dyDescent="0.25">
      <c r="B25" s="61" t="s">
        <v>84</v>
      </c>
      <c r="C25" s="62">
        <f>'CENSO 2015'!C26</f>
        <v>39718</v>
      </c>
      <c r="D25" s="63">
        <f t="shared" si="0"/>
        <v>3.3629397569958934</v>
      </c>
      <c r="E25" s="64">
        <f t="shared" si="1"/>
        <v>2.0177638541975358</v>
      </c>
      <c r="F25" s="65">
        <f>Datos!$L$18*FGP!E25/100</f>
        <v>273330.28938423435</v>
      </c>
      <c r="G25" s="66">
        <f>'Predial y Agua'!D25</f>
        <v>4565908</v>
      </c>
      <c r="H25" s="67">
        <f>'Predial y Agua'!G25</f>
        <v>4339926</v>
      </c>
      <c r="I25" s="63">
        <f t="shared" si="2"/>
        <v>0.95050666811508244</v>
      </c>
      <c r="J25" s="63">
        <f t="shared" si="3"/>
        <v>3.8577092314136294</v>
      </c>
      <c r="K25" s="76">
        <f t="shared" si="4"/>
        <v>1.1573127694240888</v>
      </c>
      <c r="L25" s="68">
        <f>Datos!$L$18*FGP!K25/100</f>
        <v>156771.8806721115</v>
      </c>
      <c r="M25" s="77">
        <f t="shared" si="5"/>
        <v>430102.17005634587</v>
      </c>
      <c r="N25" s="76">
        <f t="shared" si="6"/>
        <v>3.1750766236216243</v>
      </c>
      <c r="O25" s="76">
        <f t="shared" si="7"/>
        <v>0.31495302902622818</v>
      </c>
      <c r="P25" s="76">
        <f t="shared" si="8"/>
        <v>4.9885858474460525</v>
      </c>
      <c r="Q25" s="76">
        <f t="shared" si="9"/>
        <v>0.49885858474460526</v>
      </c>
      <c r="R25" s="70">
        <f t="shared" si="10"/>
        <v>67576.372253075257</v>
      </c>
      <c r="S25" s="71">
        <f t="shared" si="11"/>
        <v>497678.54230942111</v>
      </c>
      <c r="T25" s="72" t="e">
        <f>#REF!+K25+E25</f>
        <v>#REF!</v>
      </c>
      <c r="U25" s="73"/>
      <c r="V25" s="74"/>
      <c r="W25" s="74"/>
    </row>
    <row r="26" spans="2:23" s="75" customFormat="1" ht="16.5" customHeight="1" x14ac:dyDescent="0.25">
      <c r="B26" s="61" t="s">
        <v>85</v>
      </c>
      <c r="C26" s="62">
        <f>'CENSO 2015'!C27</f>
        <v>413608</v>
      </c>
      <c r="D26" s="63">
        <f t="shared" si="0"/>
        <v>35.020363236103471</v>
      </c>
      <c r="E26" s="64">
        <f t="shared" si="1"/>
        <v>21.012217941662083</v>
      </c>
      <c r="F26" s="65">
        <f>Datos!$L$18*FGP!E26/100</f>
        <v>2846356.6728343428</v>
      </c>
      <c r="G26" s="66">
        <f>'Predial y Agua'!D26</f>
        <v>339819544</v>
      </c>
      <c r="H26" s="67">
        <f>'Predial y Agua'!G26</f>
        <v>249740346</v>
      </c>
      <c r="I26" s="63">
        <f t="shared" si="2"/>
        <v>0.73492049062369413</v>
      </c>
      <c r="J26" s="63">
        <f t="shared" si="3"/>
        <v>2.9827350571419644</v>
      </c>
      <c r="K26" s="76">
        <f t="shared" si="4"/>
        <v>0.89482051714258926</v>
      </c>
      <c r="L26" s="68">
        <f>Datos!$L$18*FGP!K26/100</f>
        <v>121214.16011528473</v>
      </c>
      <c r="M26" s="77">
        <f t="shared" si="5"/>
        <v>2967570.8329496277</v>
      </c>
      <c r="N26" s="76">
        <f t="shared" si="6"/>
        <v>21.907038458804671</v>
      </c>
      <c r="O26" s="76">
        <f t="shared" si="7"/>
        <v>4.5647429792048839E-2</v>
      </c>
      <c r="P26" s="76">
        <f t="shared" si="8"/>
        <v>0.72301613652345198</v>
      </c>
      <c r="Q26" s="76">
        <f t="shared" si="9"/>
        <v>7.2301613652345206E-2</v>
      </c>
      <c r="R26" s="70">
        <f t="shared" si="10"/>
        <v>9794.1198329187282</v>
      </c>
      <c r="S26" s="71">
        <f t="shared" si="11"/>
        <v>2977364.9527825462</v>
      </c>
      <c r="T26" s="72" t="e">
        <f>#REF!+K26+E26</f>
        <v>#REF!</v>
      </c>
      <c r="U26" s="73"/>
      <c r="V26" s="74"/>
      <c r="W26" s="74"/>
    </row>
    <row r="27" spans="2:23" s="75" customFormat="1" ht="16.5" customHeight="1" x14ac:dyDescent="0.25">
      <c r="B27" s="61" t="s">
        <v>86</v>
      </c>
      <c r="C27" s="62">
        <f>'CENSO 2015'!C28</f>
        <v>30565</v>
      </c>
      <c r="D27" s="63">
        <f t="shared" si="0"/>
        <v>2.5879513991786967</v>
      </c>
      <c r="E27" s="64">
        <f t="shared" si="1"/>
        <v>1.5527708395072179</v>
      </c>
      <c r="F27" s="65">
        <f>Datos!$L$18*FGP!E27/100</f>
        <v>210341.4143468735</v>
      </c>
      <c r="G27" s="66">
        <f>'Predial y Agua'!D27</f>
        <v>1900594</v>
      </c>
      <c r="H27" s="67">
        <f>'Predial y Agua'!G27</f>
        <v>2607273</v>
      </c>
      <c r="I27" s="63">
        <f t="shared" si="2"/>
        <v>1.3718200730929384</v>
      </c>
      <c r="J27" s="63">
        <f t="shared" si="3"/>
        <v>5.5676442231633141</v>
      </c>
      <c r="K27" s="76">
        <f t="shared" si="4"/>
        <v>1.6702932669489943</v>
      </c>
      <c r="L27" s="68">
        <f>Datos!$L$18*FGP!K27/100</f>
        <v>226261.23520944591</v>
      </c>
      <c r="M27" s="77">
        <f t="shared" si="5"/>
        <v>436602.6495563194</v>
      </c>
      <c r="N27" s="76">
        <f t="shared" si="6"/>
        <v>3.2230641064562122</v>
      </c>
      <c r="O27" s="76">
        <f t="shared" si="7"/>
        <v>0.31026376360211738</v>
      </c>
      <c r="P27" s="76">
        <f t="shared" si="8"/>
        <v>4.9143119050681587</v>
      </c>
      <c r="Q27" s="76">
        <f t="shared" si="9"/>
        <v>0.49143119050681588</v>
      </c>
      <c r="R27" s="70">
        <f t="shared" si="10"/>
        <v>66570.24271409947</v>
      </c>
      <c r="S27" s="71">
        <f t="shared" si="11"/>
        <v>503172.89227041887</v>
      </c>
      <c r="T27" s="72" t="e">
        <f>#REF!+K27+E27</f>
        <v>#REF!</v>
      </c>
      <c r="U27" s="73"/>
      <c r="V27" s="74"/>
      <c r="W27" s="74"/>
    </row>
    <row r="28" spans="2:23" s="75" customFormat="1" ht="16.5" customHeight="1" thickBot="1" x14ac:dyDescent="0.3">
      <c r="B28" s="78" t="s">
        <v>87</v>
      </c>
      <c r="C28" s="62">
        <f>'CENSO 2015'!C29</f>
        <v>57418</v>
      </c>
      <c r="D28" s="79">
        <f t="shared" si="0"/>
        <v>4.8616061978747727</v>
      </c>
      <c r="E28" s="80">
        <f t="shared" si="1"/>
        <v>2.9169637187248636</v>
      </c>
      <c r="F28" s="81">
        <f>Datos!$L$18*FGP!E28/100</f>
        <v>395137.68457283772</v>
      </c>
      <c r="G28" s="66">
        <f>'Predial y Agua'!D28</f>
        <v>25915777</v>
      </c>
      <c r="H28" s="67">
        <f>'Predial y Agua'!G28</f>
        <v>37799533</v>
      </c>
      <c r="I28" s="82">
        <f t="shared" si="2"/>
        <v>1.4585529501970942</v>
      </c>
      <c r="J28" s="79">
        <f t="shared" si="3"/>
        <v>5.9196567149170862</v>
      </c>
      <c r="K28" s="82">
        <f t="shared" si="4"/>
        <v>1.7758970144751258</v>
      </c>
      <c r="L28" s="83">
        <f>Datos!$L$18*FGP!K28/100</f>
        <v>240566.52807676047</v>
      </c>
      <c r="M28" s="84">
        <f t="shared" si="5"/>
        <v>635704.21264959825</v>
      </c>
      <c r="N28" s="82">
        <f t="shared" si="6"/>
        <v>4.6928607331999892</v>
      </c>
      <c r="O28" s="82">
        <f t="shared" si="7"/>
        <v>0.21308963910337808</v>
      </c>
      <c r="P28" s="82">
        <f t="shared" si="8"/>
        <v>3.3751571183650202</v>
      </c>
      <c r="Q28" s="82">
        <f t="shared" si="9"/>
        <v>0.33751571183650203</v>
      </c>
      <c r="R28" s="85">
        <f t="shared" si="10"/>
        <v>45720.547028376634</v>
      </c>
      <c r="S28" s="71">
        <f t="shared" si="11"/>
        <v>681424.75967797486</v>
      </c>
      <c r="T28" s="72" t="e">
        <f>#REF!+K28+E28</f>
        <v>#REF!</v>
      </c>
      <c r="U28" s="73"/>
      <c r="V28" s="74"/>
      <c r="W28" s="74"/>
    </row>
    <row r="29" spans="2:23" s="75" customFormat="1" ht="16.5" customHeight="1" thickBot="1" x14ac:dyDescent="0.3">
      <c r="B29" s="86" t="s">
        <v>88</v>
      </c>
      <c r="C29" s="87">
        <f>SUM(C9:C28)</f>
        <v>1181050</v>
      </c>
      <c r="D29" s="88">
        <f>SUM(D9:D28)</f>
        <v>100.00000000000001</v>
      </c>
      <c r="E29" s="91">
        <f t="shared" ref="E29:L29" si="12">SUM(E9:E28)</f>
        <v>59.999999999999993</v>
      </c>
      <c r="F29" s="89">
        <f t="shared" si="12"/>
        <v>8127718.8750000009</v>
      </c>
      <c r="G29" s="89">
        <f t="shared" si="12"/>
        <v>735767053</v>
      </c>
      <c r="H29" s="89">
        <f t="shared" si="12"/>
        <v>687130414</v>
      </c>
      <c r="I29" s="90">
        <f t="shared" si="12"/>
        <v>24.639147512078722</v>
      </c>
      <c r="J29" s="91">
        <f t="shared" si="12"/>
        <v>100</v>
      </c>
      <c r="K29" s="91">
        <f t="shared" si="12"/>
        <v>29.999999999999996</v>
      </c>
      <c r="L29" s="92">
        <f t="shared" si="12"/>
        <v>4063859.4375000005</v>
      </c>
      <c r="M29" s="93">
        <f t="shared" si="5"/>
        <v>12191578.312500002</v>
      </c>
      <c r="N29" s="94">
        <f t="shared" ref="N29:S29" si="13">SUM(N9:N28)</f>
        <v>89.999999999999986</v>
      </c>
      <c r="O29" s="94">
        <f t="shared" si="13"/>
        <v>6.3134731697054178</v>
      </c>
      <c r="P29" s="94">
        <f t="shared" si="13"/>
        <v>100</v>
      </c>
      <c r="Q29" s="94">
        <f t="shared" si="13"/>
        <v>9.9999999999999982</v>
      </c>
      <c r="R29" s="95">
        <f>Datos!L17</f>
        <v>1354619.8125</v>
      </c>
      <c r="S29" s="93">
        <f t="shared" si="13"/>
        <v>13546198.124999998</v>
      </c>
      <c r="T29" s="72" t="e">
        <f>#REF!+K29+E29</f>
        <v>#REF!</v>
      </c>
      <c r="U29" s="73"/>
      <c r="V29" s="74"/>
      <c r="W29" s="74"/>
    </row>
    <row r="30" spans="2:23" s="75" customFormat="1" ht="21.75" customHeight="1" x14ac:dyDescent="0.25">
      <c r="B30" s="96" t="s">
        <v>89</v>
      </c>
      <c r="C30" s="97"/>
      <c r="D30" s="98"/>
      <c r="E30" s="99"/>
      <c r="F30" s="100"/>
      <c r="G30" s="100"/>
      <c r="H30" s="100"/>
      <c r="I30" s="98"/>
      <c r="J30" s="101"/>
      <c r="K30" s="99"/>
      <c r="L30" s="97"/>
      <c r="M30" s="102"/>
      <c r="N30" s="101"/>
      <c r="O30" s="101"/>
      <c r="P30" s="101"/>
      <c r="Q30" s="101"/>
      <c r="R30" s="97"/>
      <c r="S30" s="102"/>
    </row>
    <row r="31" spans="2:23" s="75" customFormat="1" ht="23.25" customHeight="1" x14ac:dyDescent="0.25">
      <c r="B31" s="103" t="s">
        <v>238</v>
      </c>
      <c r="C31" s="103"/>
      <c r="D31" s="103"/>
      <c r="E31" s="103"/>
      <c r="F31" s="103"/>
      <c r="G31" s="103"/>
      <c r="H31" s="103"/>
      <c r="I31" s="103"/>
      <c r="J31" s="103"/>
      <c r="K31" s="103"/>
      <c r="L31" s="103"/>
      <c r="M31" s="103"/>
      <c r="N31" s="103"/>
      <c r="O31" s="103"/>
      <c r="P31" s="103"/>
      <c r="Q31" s="103"/>
      <c r="R31" s="103"/>
      <c r="S31" s="103"/>
    </row>
    <row r="32" spans="2:23" x14ac:dyDescent="0.25">
      <c r="C32" s="343"/>
      <c r="D32" s="343"/>
      <c r="E32" s="343"/>
      <c r="F32" s="343"/>
      <c r="G32" s="343"/>
      <c r="H32" s="343"/>
      <c r="I32" s="343"/>
      <c r="J32" s="343"/>
      <c r="K32" s="343"/>
      <c r="L32" s="343"/>
      <c r="M32" s="343"/>
      <c r="N32" s="343"/>
      <c r="O32" s="343"/>
      <c r="P32" s="343"/>
      <c r="Q32" s="343"/>
      <c r="R32" s="343"/>
      <c r="S32" s="343"/>
    </row>
    <row r="33" spans="3:19" x14ac:dyDescent="0.25">
      <c r="C33" s="343"/>
      <c r="D33" s="343"/>
      <c r="E33" s="343"/>
      <c r="F33" s="343"/>
      <c r="G33" s="343"/>
      <c r="H33" s="343"/>
      <c r="I33" s="343"/>
      <c r="J33" s="343"/>
      <c r="K33" s="343"/>
      <c r="L33" s="343"/>
      <c r="M33" s="343"/>
      <c r="N33" s="343"/>
      <c r="O33" s="343"/>
      <c r="P33" s="343"/>
      <c r="Q33" s="343"/>
      <c r="R33" s="343"/>
      <c r="S33" s="343"/>
    </row>
    <row r="34" spans="3:19" x14ac:dyDescent="0.25">
      <c r="C34" s="331"/>
      <c r="D34" s="331"/>
      <c r="E34" s="331"/>
      <c r="F34" s="331"/>
      <c r="G34" s="331"/>
      <c r="H34" s="331"/>
      <c r="I34" s="331"/>
      <c r="J34" s="331"/>
      <c r="K34" s="331"/>
      <c r="L34" s="331"/>
      <c r="M34" s="331"/>
      <c r="N34" s="331"/>
      <c r="O34" s="331"/>
      <c r="P34" s="331"/>
      <c r="Q34" s="331"/>
      <c r="R34" s="331"/>
      <c r="S34" s="331"/>
    </row>
    <row r="35" spans="3:19" x14ac:dyDescent="0.25">
      <c r="R35" s="104"/>
    </row>
  </sheetData>
  <mergeCells count="22">
    <mergeCell ref="T4:T8"/>
    <mergeCell ref="D5:D6"/>
    <mergeCell ref="F5:F7"/>
    <mergeCell ref="G5:H6"/>
    <mergeCell ref="I5:I7"/>
    <mergeCell ref="B2:S2"/>
    <mergeCell ref="B4:B8"/>
    <mergeCell ref="C4:F4"/>
    <mergeCell ref="G4:L4"/>
    <mergeCell ref="M4:R4"/>
    <mergeCell ref="C34:S34"/>
    <mergeCell ref="J5:J7"/>
    <mergeCell ref="L5:L7"/>
    <mergeCell ref="M5:M7"/>
    <mergeCell ref="N5:N7"/>
    <mergeCell ref="O5:O7"/>
    <mergeCell ref="P5:P8"/>
    <mergeCell ref="Q5:Q7"/>
    <mergeCell ref="R5:R7"/>
    <mergeCell ref="S5:S7"/>
    <mergeCell ref="C32:S32"/>
    <mergeCell ref="C33:S33"/>
  </mergeCells>
  <pageMargins left="0.73" right="0.31" top="0.74803149606299213" bottom="0.74803149606299213" header="0.31496062992125984" footer="0.31496062992125984"/>
  <pageSetup paperSize="5"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0" tint="-0.249977111117893"/>
    <pageSetUpPr fitToPage="1"/>
  </sheetPr>
  <dimension ref="A1:Z59"/>
  <sheetViews>
    <sheetView zoomScale="80" zoomScaleNormal="80" workbookViewId="0">
      <selection activeCell="A2" sqref="A2:I2"/>
    </sheetView>
  </sheetViews>
  <sheetFormatPr baseColWidth="10" defaultRowHeight="15" x14ac:dyDescent="0.2"/>
  <cols>
    <col min="1" max="1" width="18.77734375" customWidth="1"/>
    <col min="2" max="2" width="11.88671875" bestFit="1" customWidth="1"/>
    <col min="3" max="3" width="10.21875" customWidth="1"/>
    <col min="4" max="4" width="11.88671875" bestFit="1" customWidth="1"/>
    <col min="5" max="5" width="11" customWidth="1"/>
    <col min="6" max="6" width="11" bestFit="1" customWidth="1"/>
    <col min="7" max="7" width="11.88671875" customWidth="1"/>
    <col min="8" max="8" width="14.109375" customWidth="1"/>
    <col min="9" max="9" width="15.5546875" hidden="1" customWidth="1"/>
    <col min="10" max="10" width="0" hidden="1" customWidth="1"/>
    <col min="11" max="11" width="12.6640625" hidden="1" customWidth="1"/>
    <col min="12" max="12" width="11.33203125" hidden="1" customWidth="1"/>
    <col min="13" max="13" width="11.109375" hidden="1" customWidth="1"/>
    <col min="14" max="14" width="14" hidden="1" customWidth="1"/>
    <col min="15" max="22" width="0" hidden="1" customWidth="1"/>
  </cols>
  <sheetData>
    <row r="1" spans="1:26" ht="15.75" x14ac:dyDescent="0.25">
      <c r="A1" s="361"/>
      <c r="B1" s="361"/>
      <c r="C1" s="361"/>
      <c r="D1" s="361"/>
      <c r="E1" s="361"/>
      <c r="F1" s="361"/>
      <c r="G1" s="361"/>
      <c r="H1" s="361"/>
      <c r="I1" s="361"/>
      <c r="J1" s="46"/>
      <c r="K1" s="46"/>
      <c r="L1" s="46"/>
      <c r="M1" s="46"/>
      <c r="N1" s="46"/>
      <c r="O1" s="46"/>
      <c r="P1" s="46"/>
      <c r="Q1" s="46"/>
      <c r="R1" s="46"/>
      <c r="S1" s="46"/>
      <c r="T1" s="46"/>
      <c r="U1" s="46"/>
      <c r="V1" s="46"/>
      <c r="W1" s="46"/>
      <c r="X1" s="46"/>
      <c r="Y1" s="46"/>
      <c r="Z1" s="46"/>
    </row>
    <row r="2" spans="1:26" ht="15" customHeight="1" thickBot="1" x14ac:dyDescent="0.3">
      <c r="A2" s="362" t="s">
        <v>222</v>
      </c>
      <c r="B2" s="363"/>
      <c r="C2" s="363"/>
      <c r="D2" s="363"/>
      <c r="E2" s="363"/>
      <c r="F2" s="363"/>
      <c r="G2" s="363"/>
      <c r="H2" s="363"/>
      <c r="I2" s="364"/>
      <c r="J2" s="46"/>
      <c r="K2" s="46"/>
      <c r="L2" s="46"/>
      <c r="M2" s="46"/>
      <c r="N2" s="46"/>
      <c r="O2" s="46"/>
      <c r="P2" s="46"/>
      <c r="Q2" s="46"/>
      <c r="R2" s="46"/>
      <c r="S2" s="46"/>
      <c r="T2" s="46"/>
      <c r="U2" s="46"/>
      <c r="V2" s="46"/>
      <c r="W2" s="46"/>
      <c r="X2" s="46"/>
      <c r="Y2" s="46"/>
      <c r="Z2" s="46"/>
    </row>
    <row r="3" spans="1:26" ht="15" customHeight="1" thickBot="1" x14ac:dyDescent="0.3">
      <c r="A3" s="365" t="s">
        <v>90</v>
      </c>
      <c r="B3" s="347" t="s">
        <v>39</v>
      </c>
      <c r="C3" s="348"/>
      <c r="D3" s="349"/>
      <c r="E3" s="347" t="s">
        <v>40</v>
      </c>
      <c r="F3" s="348"/>
      <c r="G3" s="348"/>
      <c r="H3" s="349"/>
      <c r="I3" s="105"/>
      <c r="J3" s="46"/>
      <c r="K3" s="46"/>
      <c r="L3" s="46"/>
      <c r="M3" s="46"/>
      <c r="N3" s="46"/>
      <c r="O3" s="46"/>
      <c r="P3" s="46"/>
      <c r="Q3" s="46"/>
      <c r="R3" s="46"/>
      <c r="S3" s="46"/>
      <c r="T3" s="46"/>
      <c r="U3" s="46"/>
      <c r="V3" s="46"/>
      <c r="W3" s="46"/>
      <c r="X3" s="46"/>
      <c r="Y3" s="46"/>
      <c r="Z3" s="46"/>
    </row>
    <row r="4" spans="1:26" ht="15" customHeight="1" x14ac:dyDescent="0.25">
      <c r="A4" s="366"/>
      <c r="B4" s="106" t="s">
        <v>50</v>
      </c>
      <c r="C4" s="107" t="s">
        <v>51</v>
      </c>
      <c r="D4" s="108" t="s">
        <v>203</v>
      </c>
      <c r="E4" s="368" t="s">
        <v>201</v>
      </c>
      <c r="F4" s="369"/>
      <c r="G4" s="109" t="s">
        <v>91</v>
      </c>
      <c r="H4" s="370" t="s">
        <v>232</v>
      </c>
      <c r="I4" s="110" t="s">
        <v>92</v>
      </c>
      <c r="J4" s="46"/>
      <c r="K4" s="46"/>
      <c r="L4" s="46"/>
      <c r="M4" s="46"/>
      <c r="N4" s="46"/>
      <c r="O4" s="46"/>
      <c r="P4" s="46"/>
      <c r="Q4" s="46"/>
      <c r="R4" s="46"/>
      <c r="S4" s="46"/>
      <c r="T4" s="46"/>
      <c r="U4" s="46"/>
      <c r="V4" s="46"/>
      <c r="W4" s="46"/>
      <c r="X4" s="46"/>
      <c r="Y4" s="46"/>
      <c r="Z4" s="46"/>
    </row>
    <row r="5" spans="1:26" ht="16.5" thickBot="1" x14ac:dyDescent="0.3">
      <c r="A5" s="366"/>
      <c r="B5" s="106" t="s">
        <v>93</v>
      </c>
      <c r="C5" s="111" t="s">
        <v>94</v>
      </c>
      <c r="D5" s="112" t="s">
        <v>202</v>
      </c>
      <c r="E5" s="373">
        <v>2018</v>
      </c>
      <c r="F5" s="374"/>
      <c r="G5" s="112" t="s">
        <v>200</v>
      </c>
      <c r="H5" s="371"/>
      <c r="I5" s="113" t="s">
        <v>95</v>
      </c>
      <c r="J5" s="46"/>
      <c r="K5" s="46"/>
      <c r="L5" s="46"/>
      <c r="M5" s="46"/>
      <c r="N5" s="46"/>
      <c r="O5" s="46"/>
      <c r="P5" s="46"/>
      <c r="Q5" s="46"/>
      <c r="R5" s="46"/>
      <c r="S5" s="46"/>
      <c r="T5" s="46"/>
      <c r="U5" s="46"/>
      <c r="V5" s="46"/>
      <c r="W5" s="46"/>
      <c r="X5" s="46"/>
      <c r="Y5" s="46"/>
      <c r="Z5" s="46"/>
    </row>
    <row r="6" spans="1:26" ht="16.5" thickBot="1" x14ac:dyDescent="0.3">
      <c r="A6" s="366"/>
      <c r="B6" s="114" t="s">
        <v>204</v>
      </c>
      <c r="C6" s="115"/>
      <c r="D6" s="116" t="s">
        <v>96</v>
      </c>
      <c r="E6" s="117" t="s">
        <v>50</v>
      </c>
      <c r="F6" s="118" t="s">
        <v>51</v>
      </c>
      <c r="G6" s="116" t="s">
        <v>96</v>
      </c>
      <c r="H6" s="372"/>
      <c r="I6" s="114" t="s">
        <v>97</v>
      </c>
      <c r="J6" s="46"/>
      <c r="K6" s="46"/>
      <c r="L6" s="46"/>
      <c r="M6" s="46"/>
      <c r="N6" s="46"/>
      <c r="O6" s="46"/>
      <c r="P6" s="46"/>
      <c r="Q6" s="46"/>
      <c r="R6" s="46"/>
      <c r="S6" s="46"/>
      <c r="T6" s="46"/>
      <c r="U6" s="46"/>
      <c r="V6" s="46"/>
      <c r="W6" s="46"/>
      <c r="X6" s="46"/>
      <c r="Y6" s="46"/>
      <c r="Z6" s="46"/>
    </row>
    <row r="7" spans="1:26" ht="16.5" thickBot="1" x14ac:dyDescent="0.3">
      <c r="A7" s="367"/>
      <c r="B7" s="119" t="s">
        <v>52</v>
      </c>
      <c r="C7" s="120" t="s">
        <v>98</v>
      </c>
      <c r="D7" s="121" t="s">
        <v>99</v>
      </c>
      <c r="E7" s="122" t="s">
        <v>55</v>
      </c>
      <c r="F7" s="123" t="s">
        <v>56</v>
      </c>
      <c r="G7" s="121" t="s">
        <v>100</v>
      </c>
      <c r="H7" s="121" t="s">
        <v>101</v>
      </c>
      <c r="I7" s="124" t="s">
        <v>102</v>
      </c>
      <c r="J7" s="46"/>
      <c r="K7" s="46" t="s">
        <v>103</v>
      </c>
      <c r="L7" s="46" t="s">
        <v>104</v>
      </c>
      <c r="M7" s="46" t="s">
        <v>105</v>
      </c>
      <c r="N7" s="46" t="s">
        <v>103</v>
      </c>
      <c r="O7" s="46" t="s">
        <v>104</v>
      </c>
      <c r="P7" s="46" t="s">
        <v>105</v>
      </c>
      <c r="Q7" s="125" t="s">
        <v>106</v>
      </c>
      <c r="R7" s="125" t="s">
        <v>107</v>
      </c>
      <c r="S7" s="125" t="s">
        <v>108</v>
      </c>
      <c r="T7" s="125" t="s">
        <v>107</v>
      </c>
      <c r="U7" s="46"/>
      <c r="V7" s="46"/>
      <c r="W7" s="46"/>
      <c r="X7" s="46"/>
      <c r="Y7" s="46"/>
      <c r="Z7" s="46"/>
    </row>
    <row r="8" spans="1:26" ht="25.5" customHeight="1" x14ac:dyDescent="0.25">
      <c r="A8" s="126" t="s">
        <v>68</v>
      </c>
      <c r="B8" s="127">
        <f>'CENSO 2015'!C10</f>
        <v>37309</v>
      </c>
      <c r="C8" s="128">
        <f t="shared" ref="C8:C28" si="0">B8/B$28*100</f>
        <v>3.1589687142796663</v>
      </c>
      <c r="D8" s="129">
        <f>Datos!$L$27*FFM!C8/100</f>
        <v>3242.3023089623639</v>
      </c>
      <c r="E8" s="130">
        <f>'Predial y Agua'!G9</f>
        <v>11206191</v>
      </c>
      <c r="F8" s="131">
        <f>E8/E$28*100</f>
        <v>1.6308681396833062</v>
      </c>
      <c r="G8" s="130">
        <f>Datos!$L$28*FFM!F8/100</f>
        <v>1673.8904412081517</v>
      </c>
      <c r="H8" s="132">
        <f>D8+G8</f>
        <v>4916.1927501705159</v>
      </c>
      <c r="I8" s="133" t="e">
        <f>D8+G8+#REF!</f>
        <v>#REF!</v>
      </c>
      <c r="J8" s="134">
        <f t="shared" ref="J8:J27" si="1">C8+F8</f>
        <v>4.7898368539629725</v>
      </c>
      <c r="K8" s="134">
        <f>J8/2</f>
        <v>2.3949184269814863</v>
      </c>
      <c r="L8" s="134">
        <f>2.480738</f>
        <v>2.4807380000000001</v>
      </c>
      <c r="M8" s="135">
        <f>K8-L8</f>
        <v>-8.5819573018513839E-2</v>
      </c>
      <c r="N8" s="134" t="e">
        <f>#REF!</f>
        <v>#REF!</v>
      </c>
      <c r="O8" s="46"/>
      <c r="P8" s="134" t="e">
        <f>N8-O8</f>
        <v>#REF!</v>
      </c>
      <c r="Q8" s="125">
        <v>3.3898570000000001</v>
      </c>
      <c r="R8" s="136">
        <f>K8-Q8</f>
        <v>-0.99493857301851385</v>
      </c>
      <c r="S8" s="125"/>
      <c r="T8" s="125"/>
      <c r="U8" s="46"/>
      <c r="V8" s="46"/>
      <c r="W8" s="46"/>
      <c r="X8" s="46"/>
      <c r="Y8" s="134"/>
      <c r="Z8" s="134"/>
    </row>
    <row r="9" spans="1:26" ht="25.5" customHeight="1" x14ac:dyDescent="0.25">
      <c r="A9" s="126" t="s">
        <v>69</v>
      </c>
      <c r="B9" s="127">
        <f>'CENSO 2015'!C11</f>
        <v>15953</v>
      </c>
      <c r="C9" s="128">
        <f t="shared" si="0"/>
        <v>1.3507472164599297</v>
      </c>
      <c r="D9" s="129">
        <f>Datos!$L$27*FFM!C9/100</f>
        <v>1386.3799280301425</v>
      </c>
      <c r="E9" s="130">
        <f>'Predial y Agua'!G10</f>
        <v>6496081</v>
      </c>
      <c r="F9" s="131">
        <f t="shared" ref="F9:F27" si="2">E9/E$28*100</f>
        <v>0.94539273297252135</v>
      </c>
      <c r="G9" s="130">
        <f>Datos!$L$28*FFM!F9/100</f>
        <v>970.33219326833637</v>
      </c>
      <c r="H9" s="132">
        <f t="shared" ref="H9:H27" si="3">D9+G9</f>
        <v>2356.7121212984789</v>
      </c>
      <c r="I9" s="133" t="e">
        <f>D9+G9+#REF!</f>
        <v>#REF!</v>
      </c>
      <c r="J9" s="134">
        <f t="shared" si="1"/>
        <v>2.296139949432451</v>
      </c>
      <c r="K9" s="134">
        <f t="shared" ref="K9:K28" si="4">J9/2</f>
        <v>1.1480699747162255</v>
      </c>
      <c r="L9" s="134">
        <v>1.0658129999999999</v>
      </c>
      <c r="M9" s="135">
        <f t="shared" ref="M9:M27" si="5">K9-L9</f>
        <v>8.2256974716225617E-2</v>
      </c>
      <c r="N9" s="134" t="e">
        <f>#REF!</f>
        <v>#REF!</v>
      </c>
      <c r="O9" s="46"/>
      <c r="P9" s="134" t="e">
        <f t="shared" ref="P9:P27" si="6">N9-O9</f>
        <v>#REF!</v>
      </c>
      <c r="Q9" s="125">
        <v>1.4561059999999999</v>
      </c>
      <c r="R9" s="136">
        <f t="shared" ref="R9:R27" si="7">K9-Q9</f>
        <v>-0.30803602528377438</v>
      </c>
      <c r="S9" s="125"/>
      <c r="T9" s="125"/>
      <c r="U9" s="46"/>
      <c r="V9" s="46"/>
      <c r="W9" s="46"/>
      <c r="X9" s="46"/>
      <c r="Y9" s="134"/>
      <c r="Z9" s="134"/>
    </row>
    <row r="10" spans="1:26" ht="25.5" customHeight="1" x14ac:dyDescent="0.25">
      <c r="A10" s="126" t="s">
        <v>70</v>
      </c>
      <c r="B10" s="127">
        <f>'CENSO 2015'!C12</f>
        <v>11851</v>
      </c>
      <c r="C10" s="128">
        <f t="shared" si="0"/>
        <v>1.0034291520257399</v>
      </c>
      <c r="D10" s="129">
        <f>Datos!$L$27*FFM!C10/100</f>
        <v>1029.8996130561789</v>
      </c>
      <c r="E10" s="130">
        <f>'Predial y Agua'!G11</f>
        <v>3306953</v>
      </c>
      <c r="F10" s="131">
        <f t="shared" si="2"/>
        <v>0.48127006644185599</v>
      </c>
      <c r="G10" s="130">
        <f>Datos!$L$28*FFM!F10/100</f>
        <v>493.96597079459212</v>
      </c>
      <c r="H10" s="132">
        <f t="shared" si="3"/>
        <v>1523.8655838507709</v>
      </c>
      <c r="I10" s="133" t="e">
        <f>D10+G10+#REF!</f>
        <v>#REF!</v>
      </c>
      <c r="J10" s="134">
        <f t="shared" si="1"/>
        <v>1.484699218467596</v>
      </c>
      <c r="K10" s="134">
        <f t="shared" si="4"/>
        <v>0.742349609233798</v>
      </c>
      <c r="L10" s="134">
        <v>0.85747200000000001</v>
      </c>
      <c r="M10" s="135">
        <f t="shared" si="5"/>
        <v>-0.11512239076620201</v>
      </c>
      <c r="N10" s="134" t="e">
        <f>#REF!</f>
        <v>#REF!</v>
      </c>
      <c r="O10" s="46"/>
      <c r="P10" s="134" t="e">
        <f t="shared" si="6"/>
        <v>#REF!</v>
      </c>
      <c r="Q10" s="125">
        <v>1.167629</v>
      </c>
      <c r="R10" s="136">
        <f t="shared" si="7"/>
        <v>-0.42527939076620203</v>
      </c>
      <c r="S10" s="125"/>
      <c r="T10" s="125"/>
      <c r="U10" s="46"/>
      <c r="V10" s="46"/>
      <c r="W10" s="46"/>
      <c r="X10" s="46"/>
      <c r="Y10" s="134"/>
      <c r="Z10" s="134"/>
    </row>
    <row r="11" spans="1:26" ht="25.5" customHeight="1" x14ac:dyDescent="0.25">
      <c r="A11" s="126" t="s">
        <v>71</v>
      </c>
      <c r="B11" s="127">
        <f>'CENSO 2015'!C13</f>
        <v>150250</v>
      </c>
      <c r="C11" s="128">
        <f t="shared" si="0"/>
        <v>12.721730663392744</v>
      </c>
      <c r="D11" s="129">
        <f>Datos!$L$27*FFM!C11/100</f>
        <v>13057.329918293044</v>
      </c>
      <c r="E11" s="130">
        <f>'Predial y Agua'!G12</f>
        <v>293520012</v>
      </c>
      <c r="F11" s="131">
        <f t="shared" si="2"/>
        <v>42.716783600267185</v>
      </c>
      <c r="G11" s="130">
        <f>Datos!$L$28*FFM!F11/100</f>
        <v>43843.652351642231</v>
      </c>
      <c r="H11" s="132">
        <f t="shared" si="3"/>
        <v>56900.982269935274</v>
      </c>
      <c r="I11" s="133" t="e">
        <f>D11+G11+#REF!</f>
        <v>#REF!</v>
      </c>
      <c r="J11" s="134">
        <f t="shared" si="1"/>
        <v>55.438514263659926</v>
      </c>
      <c r="K11" s="134">
        <f t="shared" si="4"/>
        <v>27.719257131829963</v>
      </c>
      <c r="L11" s="134">
        <v>26.514603000000001</v>
      </c>
      <c r="M11" s="135">
        <f t="shared" si="5"/>
        <v>1.2046541318299617</v>
      </c>
      <c r="N11" s="134" t="e">
        <f>#REF!</f>
        <v>#REF!</v>
      </c>
      <c r="O11" s="46"/>
      <c r="P11" s="134" t="e">
        <f t="shared" si="6"/>
        <v>#REF!</v>
      </c>
      <c r="Q11" s="125">
        <v>39.874909000000002</v>
      </c>
      <c r="R11" s="136">
        <f t="shared" si="7"/>
        <v>-12.15565186817004</v>
      </c>
      <c r="S11" s="125"/>
      <c r="T11" s="125"/>
      <c r="U11" s="46"/>
      <c r="V11" s="46"/>
      <c r="W11" s="46"/>
      <c r="X11" s="46"/>
      <c r="Y11" s="134"/>
      <c r="Z11" s="134"/>
    </row>
    <row r="12" spans="1:26" ht="25.5" customHeight="1" x14ac:dyDescent="0.25">
      <c r="A12" s="126" t="s">
        <v>72</v>
      </c>
      <c r="B12" s="127">
        <f>'CENSO 2015'!C14</f>
        <v>75520</v>
      </c>
      <c r="C12" s="128">
        <f t="shared" si="0"/>
        <v>6.3943101477498834</v>
      </c>
      <c r="D12" s="129">
        <f>Datos!$L$27*FFM!C12/100</f>
        <v>6562.9920494475255</v>
      </c>
      <c r="E12" s="130">
        <f>'Predial y Agua'!G13</f>
        <v>26126480</v>
      </c>
      <c r="F12" s="131">
        <f t="shared" si="2"/>
        <v>3.8022592898936938</v>
      </c>
      <c r="G12" s="130">
        <f>Datos!$L$28*FFM!F12/100</f>
        <v>3902.5628899610892</v>
      </c>
      <c r="H12" s="132">
        <f t="shared" si="3"/>
        <v>10465.554939408616</v>
      </c>
      <c r="I12" s="133" t="e">
        <f>D12+G12+#REF!</f>
        <v>#REF!</v>
      </c>
      <c r="J12" s="134">
        <f t="shared" si="1"/>
        <v>10.196569437643577</v>
      </c>
      <c r="K12" s="134">
        <f t="shared" si="4"/>
        <v>5.0982847188217884</v>
      </c>
      <c r="L12" s="134">
        <v>5.371861</v>
      </c>
      <c r="M12" s="135">
        <f t="shared" si="5"/>
        <v>-0.27357628117821164</v>
      </c>
      <c r="N12" s="134" t="e">
        <f>#REF!</f>
        <v>#REF!</v>
      </c>
      <c r="O12" s="46"/>
      <c r="P12" s="134" t="e">
        <f t="shared" si="6"/>
        <v>#REF!</v>
      </c>
      <c r="Q12" s="125">
        <v>7.3199050000000003</v>
      </c>
      <c r="R12" s="136">
        <f t="shared" si="7"/>
        <v>-2.221620281178212</v>
      </c>
      <c r="S12" s="125"/>
      <c r="T12" s="125"/>
      <c r="U12" s="46"/>
      <c r="V12" s="46"/>
      <c r="W12" s="46"/>
      <c r="X12" s="46"/>
      <c r="Y12" s="134"/>
      <c r="Z12" s="134"/>
    </row>
    <row r="13" spans="1:26" s="75" customFormat="1" ht="25.5" customHeight="1" x14ac:dyDescent="0.25">
      <c r="A13" s="126" t="s">
        <v>73</v>
      </c>
      <c r="B13" s="127">
        <f>'CENSO 2015'!C15</f>
        <v>42514</v>
      </c>
      <c r="C13" s="128">
        <f t="shared" si="0"/>
        <v>3.5996782524025233</v>
      </c>
      <c r="D13" s="129">
        <f>Datos!$L$27*FFM!C13/100</f>
        <v>3694.6377647009022</v>
      </c>
      <c r="E13" s="130">
        <f>'Predial y Agua'!G14</f>
        <v>115798</v>
      </c>
      <c r="F13" s="131">
        <f t="shared" si="2"/>
        <v>1.6852404964278003E-2</v>
      </c>
      <c r="G13" s="130">
        <f>Datos!$L$28*FFM!F13/100</f>
        <v>17.296971407235656</v>
      </c>
      <c r="H13" s="132">
        <f t="shared" si="3"/>
        <v>3711.9347361081377</v>
      </c>
      <c r="I13" s="137" t="e">
        <f>D13+G13+#REF!</f>
        <v>#REF!</v>
      </c>
      <c r="J13" s="74">
        <f t="shared" si="1"/>
        <v>3.6165306573668015</v>
      </c>
      <c r="K13" s="74">
        <f t="shared" si="4"/>
        <v>1.8082653286834007</v>
      </c>
      <c r="L13" s="74">
        <v>1.826878</v>
      </c>
      <c r="M13" s="138">
        <f t="shared" si="5"/>
        <v>-1.8612671316599272E-2</v>
      </c>
      <c r="N13" s="74" t="e">
        <f>#REF!</f>
        <v>#REF!</v>
      </c>
      <c r="O13" s="75">
        <v>0.35585699999999998</v>
      </c>
      <c r="P13" s="74" t="e">
        <f t="shared" si="6"/>
        <v>#REF!</v>
      </c>
      <c r="Q13" s="139">
        <v>2.5551330000000001</v>
      </c>
      <c r="R13" s="140">
        <f t="shared" si="7"/>
        <v>-0.74686767131659937</v>
      </c>
      <c r="S13" s="139">
        <v>16.147120999999999</v>
      </c>
      <c r="T13" s="139">
        <f>O13-S13</f>
        <v>-15.791263999999998</v>
      </c>
      <c r="Y13" s="134"/>
      <c r="Z13" s="134"/>
    </row>
    <row r="14" spans="1:26" s="75" customFormat="1" ht="25.5" customHeight="1" x14ac:dyDescent="0.25">
      <c r="A14" s="126" t="s">
        <v>74</v>
      </c>
      <c r="B14" s="127">
        <f>'CENSO 2015'!C16</f>
        <v>12614</v>
      </c>
      <c r="C14" s="128">
        <f t="shared" si="0"/>
        <v>1.0680326827822699</v>
      </c>
      <c r="D14" s="129">
        <f>Datos!$L$27*FFM!C14/100</f>
        <v>1096.2073849540661</v>
      </c>
      <c r="E14" s="130">
        <f>'Predial y Agua'!G15</f>
        <v>92213</v>
      </c>
      <c r="F14" s="131">
        <f t="shared" si="2"/>
        <v>1.3420014326421592E-2</v>
      </c>
      <c r="G14" s="130">
        <f>Datos!$L$28*FFM!F14/100</f>
        <v>13.774034304352595</v>
      </c>
      <c r="H14" s="132">
        <f t="shared" si="3"/>
        <v>1109.9814192584188</v>
      </c>
      <c r="I14" s="137" t="e">
        <f>D14+G14+#REF!</f>
        <v>#REF!</v>
      </c>
      <c r="J14" s="74">
        <f t="shared" si="1"/>
        <v>1.0814526971086915</v>
      </c>
      <c r="K14" s="74">
        <f t="shared" si="4"/>
        <v>0.54072634855434576</v>
      </c>
      <c r="L14" s="74">
        <v>0.53989200000000004</v>
      </c>
      <c r="M14" s="138">
        <f t="shared" si="5"/>
        <v>8.3434855434572075E-4</v>
      </c>
      <c r="N14" s="74" t="e">
        <f>#REF!</f>
        <v>#REF!</v>
      </c>
      <c r="O14" s="75">
        <v>0.19699800000000001</v>
      </c>
      <c r="P14" s="74" t="e">
        <f t="shared" si="6"/>
        <v>#REF!</v>
      </c>
      <c r="Q14" s="139">
        <v>0.75530600000000003</v>
      </c>
      <c r="R14" s="140">
        <f t="shared" si="7"/>
        <v>-0.21457965144565427</v>
      </c>
      <c r="S14" s="139">
        <v>4.7731430000000001</v>
      </c>
      <c r="T14" s="139">
        <f t="shared" ref="T14:T26" si="8">O14-S14</f>
        <v>-4.5761450000000004</v>
      </c>
      <c r="Y14" s="134"/>
      <c r="Z14" s="134"/>
    </row>
    <row r="15" spans="1:26" s="75" customFormat="1" ht="25.5" customHeight="1" x14ac:dyDescent="0.25">
      <c r="A15" s="126" t="s">
        <v>75</v>
      </c>
      <c r="B15" s="127">
        <f>'CENSO 2015'!C17</f>
        <v>29416</v>
      </c>
      <c r="C15" s="128">
        <f t="shared" si="0"/>
        <v>2.4906650861521529</v>
      </c>
      <c r="D15" s="129">
        <f>Datos!$L$27*FFM!C15/100</f>
        <v>2556.3688311248466</v>
      </c>
      <c r="E15" s="130">
        <f>'Predial y Agua'!G16</f>
        <v>11680521</v>
      </c>
      <c r="F15" s="131">
        <f t="shared" si="2"/>
        <v>1.6998987036542381</v>
      </c>
      <c r="G15" s="130">
        <f>Datos!$L$28*FFM!F15/100</f>
        <v>1744.7420314566368</v>
      </c>
      <c r="H15" s="132">
        <f t="shared" si="3"/>
        <v>4301.1108625814832</v>
      </c>
      <c r="I15" s="133" t="e">
        <f>D15+G15+#REF!</f>
        <v>#REF!</v>
      </c>
      <c r="J15" s="74">
        <f t="shared" si="1"/>
        <v>4.190563789806391</v>
      </c>
      <c r="K15" s="74">
        <f t="shared" si="4"/>
        <v>2.0952818949031955</v>
      </c>
      <c r="L15" s="74">
        <v>2.598125</v>
      </c>
      <c r="M15" s="138">
        <f t="shared" si="5"/>
        <v>-0.50284310509680452</v>
      </c>
      <c r="N15" s="74" t="e">
        <f>#REF!</f>
        <v>#REF!</v>
      </c>
      <c r="P15" s="74" t="e">
        <f t="shared" si="6"/>
        <v>#REF!</v>
      </c>
      <c r="Q15" s="139">
        <v>3.512527</v>
      </c>
      <c r="R15" s="140">
        <f t="shared" si="7"/>
        <v>-1.4172451050968045</v>
      </c>
      <c r="S15" s="139"/>
      <c r="T15" s="139">
        <f t="shared" si="8"/>
        <v>0</v>
      </c>
      <c r="Y15" s="74"/>
      <c r="Z15" s="134"/>
    </row>
    <row r="16" spans="1:26" s="75" customFormat="1" ht="25.5" customHeight="1" x14ac:dyDescent="0.25">
      <c r="A16" s="126" t="s">
        <v>76</v>
      </c>
      <c r="B16" s="127">
        <f>'CENSO 2015'!C18</f>
        <v>18580</v>
      </c>
      <c r="C16" s="128">
        <f t="shared" si="0"/>
        <v>1.5731764108208799</v>
      </c>
      <c r="D16" s="129">
        <f>Datos!$L$27*FFM!C16/100</f>
        <v>1614.6768045383349</v>
      </c>
      <c r="E16" s="130">
        <f>'Predial y Agua'!G17</f>
        <v>3420820</v>
      </c>
      <c r="F16" s="131">
        <f t="shared" si="2"/>
        <v>0.49784144760618909</v>
      </c>
      <c r="G16" s="130">
        <f>Datos!$L$28*FFM!F16/100</f>
        <v>510.97450499404033</v>
      </c>
      <c r="H16" s="132">
        <f t="shared" si="3"/>
        <v>2125.6513095323753</v>
      </c>
      <c r="I16" s="133" t="e">
        <f>D16+G16+#REF!</f>
        <v>#REF!</v>
      </c>
      <c r="J16" s="74">
        <f t="shared" si="1"/>
        <v>2.0710178584270689</v>
      </c>
      <c r="K16" s="74">
        <f t="shared" si="4"/>
        <v>1.0355089292135344</v>
      </c>
      <c r="L16" s="74">
        <v>1.1819949999999999</v>
      </c>
      <c r="M16" s="138">
        <f t="shared" si="5"/>
        <v>-0.14648607078646547</v>
      </c>
      <c r="N16" s="74" t="e">
        <f>#REF!</f>
        <v>#REF!</v>
      </c>
      <c r="P16" s="74" t="e">
        <f t="shared" si="6"/>
        <v>#REF!</v>
      </c>
      <c r="Q16" s="139">
        <v>1.6183019999999999</v>
      </c>
      <c r="R16" s="140">
        <f t="shared" si="7"/>
        <v>-0.58279307078646547</v>
      </c>
      <c r="S16" s="139"/>
      <c r="T16" s="139">
        <f t="shared" si="8"/>
        <v>0</v>
      </c>
      <c r="Y16" s="134"/>
      <c r="Z16" s="134"/>
    </row>
    <row r="17" spans="1:26" s="75" customFormat="1" ht="25.5" customHeight="1" x14ac:dyDescent="0.25">
      <c r="A17" s="126" t="s">
        <v>77</v>
      </c>
      <c r="B17" s="127">
        <f>'CENSO 2015'!C19</f>
        <v>14315</v>
      </c>
      <c r="C17" s="128">
        <f t="shared" si="0"/>
        <v>1.212057067863342</v>
      </c>
      <c r="D17" s="129">
        <f>Datos!$L$27*FFM!C17/100</f>
        <v>1244.0311333135769</v>
      </c>
      <c r="E17" s="130">
        <f>'Predial y Agua'!G18</f>
        <v>2366788</v>
      </c>
      <c r="F17" s="131">
        <f t="shared" si="2"/>
        <v>0.3444452394738563</v>
      </c>
      <c r="G17" s="130">
        <f>Datos!$L$28*FFM!F17/100</f>
        <v>353.53170489117662</v>
      </c>
      <c r="H17" s="132">
        <f t="shared" si="3"/>
        <v>1597.5628382047535</v>
      </c>
      <c r="I17" s="133" t="e">
        <f>D17+G17+#REF!</f>
        <v>#REF!</v>
      </c>
      <c r="J17" s="74">
        <f t="shared" si="1"/>
        <v>1.5565023073371984</v>
      </c>
      <c r="K17" s="74">
        <f t="shared" si="4"/>
        <v>0.7782511536685992</v>
      </c>
      <c r="L17" s="74">
        <v>0.66424499999999997</v>
      </c>
      <c r="M17" s="138">
        <v>9.9999999999999995E-7</v>
      </c>
      <c r="N17" s="74" t="e">
        <f>#REF!</f>
        <v>#REF!</v>
      </c>
      <c r="P17" s="74" t="e">
        <f t="shared" si="6"/>
        <v>#REF!</v>
      </c>
      <c r="Q17" s="139">
        <v>0.92457</v>
      </c>
      <c r="R17" s="140">
        <f t="shared" si="7"/>
        <v>-0.1463188463314008</v>
      </c>
      <c r="S17" s="139"/>
      <c r="T17" s="139">
        <f t="shared" si="8"/>
        <v>0</v>
      </c>
      <c r="Y17" s="134"/>
      <c r="Z17" s="134"/>
    </row>
    <row r="18" spans="1:26" s="75" customFormat="1" ht="25.5" customHeight="1" x14ac:dyDescent="0.25">
      <c r="A18" s="126" t="s">
        <v>78</v>
      </c>
      <c r="B18" s="127">
        <f>'CENSO 2015'!C20</f>
        <v>33901</v>
      </c>
      <c r="C18" s="128">
        <f t="shared" si="0"/>
        <v>2.8704119215951907</v>
      </c>
      <c r="D18" s="129">
        <f>Datos!$L$27*FFM!C18/100</f>
        <v>2946.1333880868715</v>
      </c>
      <c r="E18" s="130">
        <f>'Predial y Agua'!G19</f>
        <v>2337928</v>
      </c>
      <c r="F18" s="131">
        <f t="shared" si="2"/>
        <v>0.3402451634166786</v>
      </c>
      <c r="G18" s="130">
        <f>Datos!$L$28*FFM!F18/100</f>
        <v>349.22083082761054</v>
      </c>
      <c r="H18" s="132">
        <f t="shared" si="3"/>
        <v>3295.3542189144819</v>
      </c>
      <c r="I18" s="137" t="e">
        <f>D18+G18+#REF!</f>
        <v>#REF!</v>
      </c>
      <c r="J18" s="74">
        <f t="shared" si="1"/>
        <v>3.2106570850118694</v>
      </c>
      <c r="K18" s="74">
        <f t="shared" si="4"/>
        <v>1.6053285425059347</v>
      </c>
      <c r="L18" s="74">
        <v>1.606241</v>
      </c>
      <c r="M18" s="138">
        <f t="shared" si="5"/>
        <v>-9.1245749406532184E-4</v>
      </c>
      <c r="N18" s="74" t="e">
        <f>#REF!</f>
        <v>#REF!</v>
      </c>
      <c r="O18" s="75">
        <v>16.427489000000001</v>
      </c>
      <c r="P18" s="74" t="e">
        <f t="shared" si="6"/>
        <v>#REF!</v>
      </c>
      <c r="Q18" s="139">
        <v>2.2329530000000002</v>
      </c>
      <c r="R18" s="140">
        <f t="shared" si="7"/>
        <v>-0.62762445749406548</v>
      </c>
      <c r="S18" s="139">
        <v>14.111107000000001</v>
      </c>
      <c r="T18" s="139">
        <f t="shared" si="8"/>
        <v>2.3163820000000008</v>
      </c>
      <c r="Y18" s="134"/>
      <c r="Z18" s="134"/>
    </row>
    <row r="19" spans="1:26" s="75" customFormat="1" ht="25.5" customHeight="1" x14ac:dyDescent="0.25">
      <c r="A19" s="126" t="s">
        <v>79</v>
      </c>
      <c r="B19" s="127">
        <f>'CENSO 2015'!C21</f>
        <v>24743</v>
      </c>
      <c r="C19" s="128">
        <f t="shared" si="0"/>
        <v>2.0950002116760511</v>
      </c>
      <c r="D19" s="129">
        <f>Datos!$L$27*FFM!C19/100</f>
        <v>2150.2663172600655</v>
      </c>
      <c r="E19" s="130">
        <f>'Predial y Agua'!G20</f>
        <v>2694457</v>
      </c>
      <c r="F19" s="131">
        <f t="shared" si="2"/>
        <v>0.3921318202631619</v>
      </c>
      <c r="G19" s="130">
        <f>Datos!$L$28*FFM!F19/100</f>
        <v>402.47625768170406</v>
      </c>
      <c r="H19" s="132">
        <f t="shared" si="3"/>
        <v>2552.7425749417698</v>
      </c>
      <c r="I19" s="133" t="e">
        <f>D19+G19+#REF!</f>
        <v>#REF!</v>
      </c>
      <c r="J19" s="74">
        <f t="shared" si="1"/>
        <v>2.487132031939213</v>
      </c>
      <c r="K19" s="74">
        <f t="shared" si="4"/>
        <v>1.2435660159696065</v>
      </c>
      <c r="L19" s="74">
        <v>1.225519</v>
      </c>
      <c r="M19" s="138">
        <f t="shared" si="5"/>
        <v>1.804701596960645E-2</v>
      </c>
      <c r="N19" s="74" t="e">
        <f>#REF!</f>
        <v>#REF!</v>
      </c>
      <c r="P19" s="74" t="e">
        <f t="shared" si="6"/>
        <v>#REF!</v>
      </c>
      <c r="Q19" s="139">
        <v>1.699298</v>
      </c>
      <c r="R19" s="140">
        <f t="shared" si="7"/>
        <v>-0.4557319840303935</v>
      </c>
      <c r="S19" s="139"/>
      <c r="T19" s="139">
        <f t="shared" si="8"/>
        <v>0</v>
      </c>
      <c r="Y19" s="134"/>
      <c r="Z19" s="134"/>
    </row>
    <row r="20" spans="1:26" s="75" customFormat="1" ht="25.5" customHeight="1" x14ac:dyDescent="0.25">
      <c r="A20" s="126" t="s">
        <v>80</v>
      </c>
      <c r="B20" s="127">
        <f>'CENSO 2015'!C22</f>
        <v>43979</v>
      </c>
      <c r="C20" s="128">
        <f t="shared" si="0"/>
        <v>3.7237204182718768</v>
      </c>
      <c r="D20" s="129">
        <f>Datos!$L$27*FFM!C20/100</f>
        <v>3821.9521629058891</v>
      </c>
      <c r="E20" s="130">
        <f>'Predial y Agua'!G21</f>
        <v>6665469</v>
      </c>
      <c r="F20" s="131">
        <f t="shared" si="2"/>
        <v>0.97004423966597986</v>
      </c>
      <c r="G20" s="130">
        <f>Datos!$L$28*FFM!F20/100</f>
        <v>995.63400670836836</v>
      </c>
      <c r="H20" s="132">
        <f t="shared" si="3"/>
        <v>4817.5861696142574</v>
      </c>
      <c r="I20" s="133" t="e">
        <f>D20+G20+#REF!</f>
        <v>#REF!</v>
      </c>
      <c r="J20" s="74">
        <f t="shared" si="1"/>
        <v>4.6937646579378569</v>
      </c>
      <c r="K20" s="74">
        <f t="shared" si="4"/>
        <v>2.3468823289689285</v>
      </c>
      <c r="L20" s="74">
        <v>2.2379220000000002</v>
      </c>
      <c r="M20" s="138">
        <f t="shared" si="5"/>
        <v>0.10896032896892827</v>
      </c>
      <c r="N20" s="74" t="e">
        <f>#REF!</f>
        <v>#REF!</v>
      </c>
      <c r="P20" s="74" t="e">
        <f t="shared" si="6"/>
        <v>#REF!</v>
      </c>
      <c r="Q20" s="139">
        <v>3.0983839999999998</v>
      </c>
      <c r="R20" s="140">
        <f t="shared" si="7"/>
        <v>-0.75150167103107135</v>
      </c>
      <c r="S20" s="139"/>
      <c r="T20" s="139">
        <f t="shared" si="8"/>
        <v>0</v>
      </c>
      <c r="Y20" s="134"/>
      <c r="Z20" s="134"/>
    </row>
    <row r="21" spans="1:26" s="75" customFormat="1" ht="25.5" customHeight="1" x14ac:dyDescent="0.25">
      <c r="A21" s="126" t="s">
        <v>81</v>
      </c>
      <c r="B21" s="127">
        <f>'CENSO 2015'!C23</f>
        <v>7499</v>
      </c>
      <c r="C21" s="128">
        <f t="shared" si="0"/>
        <v>0.63494348249439059</v>
      </c>
      <c r="D21" s="129">
        <f>Datos!$L$27*FFM!C21/100</f>
        <v>651.69329156259266</v>
      </c>
      <c r="E21" s="130">
        <f>'Predial y Agua'!G22</f>
        <v>1821386</v>
      </c>
      <c r="F21" s="131">
        <f t="shared" si="2"/>
        <v>0.26507136969780526</v>
      </c>
      <c r="G21" s="130">
        <f>Datos!$L$28*FFM!F21/100</f>
        <v>272.06395243043335</v>
      </c>
      <c r="H21" s="132">
        <f t="shared" si="3"/>
        <v>923.75724399302601</v>
      </c>
      <c r="I21" s="137" t="e">
        <f>D21+G21+#REF!</f>
        <v>#REF!</v>
      </c>
      <c r="J21" s="74">
        <f t="shared" si="1"/>
        <v>0.90001485219219579</v>
      </c>
      <c r="K21" s="74">
        <f t="shared" si="4"/>
        <v>0.4500074260960979</v>
      </c>
      <c r="L21" s="74">
        <v>0.43209399999999998</v>
      </c>
      <c r="M21" s="138">
        <f t="shared" si="5"/>
        <v>1.7913426096097917E-2</v>
      </c>
      <c r="N21" s="74" t="e">
        <f>#REF!</f>
        <v>#REF!</v>
      </c>
      <c r="O21" s="75">
        <v>11.183956</v>
      </c>
      <c r="P21" s="74" t="e">
        <f t="shared" si="6"/>
        <v>#REF!</v>
      </c>
      <c r="Q21" s="139">
        <v>0.59435300000000002</v>
      </c>
      <c r="R21" s="140">
        <f t="shared" si="7"/>
        <v>-0.14434557390390212</v>
      </c>
      <c r="S21" s="139">
        <v>3.7560030000000002</v>
      </c>
      <c r="T21" s="139">
        <f t="shared" si="8"/>
        <v>7.4279530000000005</v>
      </c>
      <c r="Y21" s="134"/>
      <c r="Z21" s="134"/>
    </row>
    <row r="22" spans="1:26" s="75" customFormat="1" ht="25.5" customHeight="1" x14ac:dyDescent="0.25">
      <c r="A22" s="126" t="s">
        <v>82</v>
      </c>
      <c r="B22" s="127">
        <f>'CENSO 2015'!C24</f>
        <v>23477</v>
      </c>
      <c r="C22" s="128">
        <f t="shared" si="0"/>
        <v>1.9878074594640365</v>
      </c>
      <c r="D22" s="129">
        <f>Datos!$L$27*FFM!C22/100</f>
        <v>2040.2458202446976</v>
      </c>
      <c r="E22" s="130">
        <f>'Predial y Agua'!G23</f>
        <v>4577159</v>
      </c>
      <c r="F22" s="131">
        <f t="shared" si="2"/>
        <v>0.6661266779554893</v>
      </c>
      <c r="G22" s="130">
        <f>Datos!$L$28*FFM!F22/100</f>
        <v>683.69909971995514</v>
      </c>
      <c r="H22" s="132">
        <f t="shared" si="3"/>
        <v>2723.9449199646529</v>
      </c>
      <c r="I22" s="133" t="e">
        <f>D22+G22+#REF!</f>
        <v>#REF!</v>
      </c>
      <c r="J22" s="74">
        <f t="shared" si="1"/>
        <v>2.653934137419526</v>
      </c>
      <c r="K22" s="74">
        <f t="shared" si="4"/>
        <v>1.326967068709763</v>
      </c>
      <c r="L22" s="74">
        <v>1.3994949999999999</v>
      </c>
      <c r="M22" s="138">
        <f t="shared" si="5"/>
        <v>-7.2527931290236936E-2</v>
      </c>
      <c r="N22" s="74" t="e">
        <f>#REF!</f>
        <v>#REF!</v>
      </c>
      <c r="P22" s="74" t="e">
        <f t="shared" si="6"/>
        <v>#REF!</v>
      </c>
      <c r="Q22" s="139">
        <v>1.921861</v>
      </c>
      <c r="R22" s="140">
        <f t="shared" si="7"/>
        <v>-0.59489393129023704</v>
      </c>
      <c r="S22" s="139"/>
      <c r="T22" s="139">
        <f t="shared" si="8"/>
        <v>0</v>
      </c>
      <c r="Y22" s="134"/>
      <c r="Z22" s="134"/>
    </row>
    <row r="23" spans="1:26" s="75" customFormat="1" ht="25.5" customHeight="1" x14ac:dyDescent="0.25">
      <c r="A23" s="126" t="s">
        <v>83</v>
      </c>
      <c r="B23" s="127">
        <f>'CENSO 2015'!C25</f>
        <v>97820</v>
      </c>
      <c r="C23" s="128">
        <f t="shared" si="0"/>
        <v>8.2824605224164927</v>
      </c>
      <c r="D23" s="129">
        <f>Datos!$L$27*FFM!C23/100</f>
        <v>8500.9518309978394</v>
      </c>
      <c r="E23" s="130">
        <f>'Predial y Agua'!G24</f>
        <v>16215080</v>
      </c>
      <c r="F23" s="131">
        <f t="shared" si="2"/>
        <v>2.3598256851427917</v>
      </c>
      <c r="G23" s="130">
        <f>Datos!$L$28*FFM!F23/100</f>
        <v>2422.0778867168583</v>
      </c>
      <c r="H23" s="132">
        <f t="shared" si="3"/>
        <v>10923.029717714697</v>
      </c>
      <c r="I23" s="137" t="e">
        <f>D23+G23+#REF!</f>
        <v>#REF!</v>
      </c>
      <c r="J23" s="74">
        <f t="shared" si="1"/>
        <v>10.642286207559284</v>
      </c>
      <c r="K23" s="74">
        <f t="shared" si="4"/>
        <v>5.3211431037796419</v>
      </c>
      <c r="L23" s="74">
        <v>5.5728949999999999</v>
      </c>
      <c r="M23" s="138">
        <f t="shared" si="5"/>
        <v>-0.25175189622035798</v>
      </c>
      <c r="N23" s="74" t="e">
        <f>#REF!</f>
        <v>#REF!</v>
      </c>
      <c r="O23" s="75">
        <v>59.916367999999999</v>
      </c>
      <c r="P23" s="74" t="e">
        <f t="shared" si="6"/>
        <v>#REF!</v>
      </c>
      <c r="Q23" s="139">
        <v>7.6699279999999996</v>
      </c>
      <c r="R23" s="140">
        <f t="shared" si="7"/>
        <v>-2.3487848962203577</v>
      </c>
      <c r="S23" s="139">
        <v>48.469971999999999</v>
      </c>
      <c r="T23" s="139">
        <f t="shared" si="8"/>
        <v>11.446396</v>
      </c>
      <c r="Y23" s="134"/>
      <c r="Z23" s="134"/>
    </row>
    <row r="24" spans="1:26" s="75" customFormat="1" ht="25.5" customHeight="1" x14ac:dyDescent="0.25">
      <c r="A24" s="126" t="s">
        <v>84</v>
      </c>
      <c r="B24" s="127">
        <f>'CENSO 2015'!C26</f>
        <v>39718</v>
      </c>
      <c r="C24" s="128">
        <f t="shared" si="0"/>
        <v>3.3629397569958934</v>
      </c>
      <c r="D24" s="129">
        <f>Datos!$L$27*FFM!C24/100</f>
        <v>3451.6541077854449</v>
      </c>
      <c r="E24" s="130">
        <f>'Predial y Agua'!G25</f>
        <v>4339926</v>
      </c>
      <c r="F24" s="131">
        <f t="shared" si="2"/>
        <v>0.63160149974092106</v>
      </c>
      <c r="G24" s="130">
        <f>Datos!$L$28*FFM!F24/100</f>
        <v>648.26314730408649</v>
      </c>
      <c r="H24" s="132">
        <f t="shared" si="3"/>
        <v>4099.917255089531</v>
      </c>
      <c r="I24" s="133" t="e">
        <f>D24+G24+#REF!</f>
        <v>#REF!</v>
      </c>
      <c r="J24" s="74">
        <f t="shared" si="1"/>
        <v>3.9945412567368144</v>
      </c>
      <c r="K24" s="74">
        <f t="shared" si="4"/>
        <v>1.9972706283684072</v>
      </c>
      <c r="L24" s="74">
        <v>2.767077</v>
      </c>
      <c r="M24" s="138">
        <f t="shared" si="5"/>
        <v>-0.76980637163159282</v>
      </c>
      <c r="N24" s="74" t="e">
        <f>#REF!</f>
        <v>#REF!</v>
      </c>
      <c r="P24" s="74" t="e">
        <f t="shared" si="6"/>
        <v>#REF!</v>
      </c>
      <c r="Q24" s="139">
        <v>3.7737189999999998</v>
      </c>
      <c r="R24" s="140">
        <f t="shared" si="7"/>
        <v>-1.7764483716315926</v>
      </c>
      <c r="S24" s="139"/>
      <c r="T24" s="139">
        <f t="shared" si="8"/>
        <v>0</v>
      </c>
      <c r="Y24" s="134"/>
      <c r="Z24" s="134"/>
    </row>
    <row r="25" spans="1:26" s="75" customFormat="1" ht="25.5" customHeight="1" x14ac:dyDescent="0.25">
      <c r="A25" s="126" t="s">
        <v>85</v>
      </c>
      <c r="B25" s="127">
        <f>'CENSO 2015'!C27</f>
        <v>413608</v>
      </c>
      <c r="C25" s="128">
        <f t="shared" si="0"/>
        <v>35.020363236103471</v>
      </c>
      <c r="D25" s="129">
        <f>Datos!$L$27*FFM!C25/100</f>
        <v>35944.200418271881</v>
      </c>
      <c r="E25" s="130">
        <f>'Predial y Agua'!G26</f>
        <v>249740346</v>
      </c>
      <c r="F25" s="131">
        <f t="shared" si="2"/>
        <v>36.345407059801602</v>
      </c>
      <c r="G25" s="130">
        <f>Datos!$L$28*FFM!F25/100</f>
        <v>37304.198898039169</v>
      </c>
      <c r="H25" s="132">
        <f t="shared" si="3"/>
        <v>73248.399316311057</v>
      </c>
      <c r="I25" s="133" t="e">
        <f>D25+G25+#REF!</f>
        <v>#REF!</v>
      </c>
      <c r="J25" s="74">
        <f t="shared" si="1"/>
        <v>71.365770295905065</v>
      </c>
      <c r="K25" s="74">
        <f t="shared" si="4"/>
        <v>35.682885147952533</v>
      </c>
      <c r="L25" s="74">
        <v>35.053296000000003</v>
      </c>
      <c r="M25" s="138">
        <f t="shared" si="5"/>
        <v>0.62958914795252952</v>
      </c>
      <c r="N25" s="74" t="e">
        <f>#REF!</f>
        <v>#REF!</v>
      </c>
      <c r="P25" s="74" t="e">
        <f t="shared" si="6"/>
        <v>#REF!</v>
      </c>
      <c r="Q25" s="139">
        <v>47.455587999999999</v>
      </c>
      <c r="R25" s="140">
        <f t="shared" si="7"/>
        <v>-11.772702852047466</v>
      </c>
      <c r="S25" s="139"/>
      <c r="T25" s="139">
        <f t="shared" si="8"/>
        <v>0</v>
      </c>
      <c r="Y25" s="134"/>
      <c r="Z25" s="134"/>
    </row>
    <row r="26" spans="1:26" s="75" customFormat="1" ht="25.5" customHeight="1" x14ac:dyDescent="0.25">
      <c r="A26" s="126" t="s">
        <v>86</v>
      </c>
      <c r="B26" s="127">
        <f>'CENSO 2015'!C28</f>
        <v>30565</v>
      </c>
      <c r="C26" s="128">
        <f t="shared" si="0"/>
        <v>2.5879513991786967</v>
      </c>
      <c r="D26" s="129">
        <f>Datos!$L$27*FFM!C26/100</f>
        <v>2656.2215570890303</v>
      </c>
      <c r="E26" s="130">
        <f>'Predial y Agua'!G27</f>
        <v>2607273</v>
      </c>
      <c r="F26" s="131">
        <f t="shared" si="2"/>
        <v>0.37944369029195674</v>
      </c>
      <c r="G26" s="130">
        <f>Datos!$L$28*FFM!F26/100</f>
        <v>389.45341484185855</v>
      </c>
      <c r="H26" s="132">
        <f t="shared" si="3"/>
        <v>3045.6749719308887</v>
      </c>
      <c r="I26" s="137" t="e">
        <f>D26+G26+#REF!</f>
        <v>#REF!</v>
      </c>
      <c r="J26" s="74">
        <f t="shared" si="1"/>
        <v>2.9673950894706533</v>
      </c>
      <c r="K26" s="74">
        <f t="shared" si="4"/>
        <v>1.4836975447353267</v>
      </c>
      <c r="L26" s="74">
        <v>1.450617</v>
      </c>
      <c r="M26" s="138">
        <f t="shared" si="5"/>
        <v>3.3080544735326622E-2</v>
      </c>
      <c r="N26" s="74" t="e">
        <f>#REF!</f>
        <v>#REF!</v>
      </c>
      <c r="O26" s="75">
        <v>11.919331</v>
      </c>
      <c r="P26" s="74" t="e">
        <f t="shared" si="6"/>
        <v>#REF!</v>
      </c>
      <c r="Q26" s="139">
        <v>2.0164080000000002</v>
      </c>
      <c r="R26" s="140">
        <f t="shared" si="7"/>
        <v>-0.53271045526467353</v>
      </c>
      <c r="S26" s="139">
        <v>12.742653000000001</v>
      </c>
      <c r="T26" s="139">
        <f t="shared" si="8"/>
        <v>-0.823322000000001</v>
      </c>
      <c r="Y26" s="134"/>
      <c r="Z26" s="134"/>
    </row>
    <row r="27" spans="1:26" s="75" customFormat="1" ht="25.5" customHeight="1" thickBot="1" x14ac:dyDescent="0.3">
      <c r="A27" s="141" t="s">
        <v>87</v>
      </c>
      <c r="B27" s="142">
        <f>'CENSO 2015'!C29</f>
        <v>57418</v>
      </c>
      <c r="C27" s="128">
        <f t="shared" si="0"/>
        <v>4.8616061978747727</v>
      </c>
      <c r="D27" s="129">
        <f>Datos!$L$27*FFM!C27/100</f>
        <v>4989.855369374709</v>
      </c>
      <c r="E27" s="130">
        <f>'Predial y Agua'!G28</f>
        <v>37799533</v>
      </c>
      <c r="F27" s="131">
        <f t="shared" si="2"/>
        <v>5.5010711547400666</v>
      </c>
      <c r="G27" s="130">
        <f>Datos!$L$28*FFM!F27/100</f>
        <v>5646.1894118021091</v>
      </c>
      <c r="H27" s="132">
        <f t="shared" si="3"/>
        <v>10636.044781176817</v>
      </c>
      <c r="I27" s="133" t="e">
        <f>D27+G27+#REF!</f>
        <v>#REF!</v>
      </c>
      <c r="J27" s="74">
        <f t="shared" si="1"/>
        <v>10.362677352614838</v>
      </c>
      <c r="K27" s="74">
        <f t="shared" si="4"/>
        <v>5.1813386763074192</v>
      </c>
      <c r="L27" s="74">
        <v>5.1532229999999997</v>
      </c>
      <c r="M27" s="138">
        <f t="shared" si="5"/>
        <v>2.8115676307419513E-2</v>
      </c>
      <c r="N27" s="74" t="e">
        <f>#REF!</f>
        <v>#REF!</v>
      </c>
      <c r="P27" s="74" t="e">
        <f t="shared" si="6"/>
        <v>#REF!</v>
      </c>
      <c r="Q27" s="139">
        <v>6.9632639999999997</v>
      </c>
      <c r="R27" s="140">
        <f t="shared" si="7"/>
        <v>-1.7819253236925805</v>
      </c>
      <c r="S27" s="139"/>
      <c r="T27" s="139"/>
      <c r="Y27" s="134"/>
      <c r="Z27" s="134"/>
    </row>
    <row r="28" spans="1:26" ht="16.5" thickBot="1" x14ac:dyDescent="0.3">
      <c r="A28" s="143" t="s">
        <v>88</v>
      </c>
      <c r="B28" s="144">
        <f>SUM(B8:B27)</f>
        <v>1181050</v>
      </c>
      <c r="C28" s="145">
        <f t="shared" si="0"/>
        <v>100</v>
      </c>
      <c r="D28" s="147">
        <f>SUM(D8:D27)</f>
        <v>102637.99999999999</v>
      </c>
      <c r="E28" s="146">
        <f>SUM(E8:E27)</f>
        <v>687130414</v>
      </c>
      <c r="F28" s="286">
        <f>E28/E$28*100</f>
        <v>100</v>
      </c>
      <c r="G28" s="146">
        <f>SUM(G8:G27)</f>
        <v>102638</v>
      </c>
      <c r="H28" s="146">
        <f>SUM(H8:H27)</f>
        <v>205275.99999999997</v>
      </c>
      <c r="I28" s="147" t="e">
        <f>SUM(I8:I27)</f>
        <v>#REF!</v>
      </c>
      <c r="J28" s="134">
        <f>SUM(J8:J27)</f>
        <v>199.99999999999997</v>
      </c>
      <c r="K28" s="134">
        <f t="shared" si="4"/>
        <v>99.999999999999986</v>
      </c>
      <c r="L28" s="134">
        <f>SUM(L8:L27)</f>
        <v>100.000001</v>
      </c>
      <c r="M28" s="134">
        <f>SUM(M8:M27)</f>
        <v>-0.11400615366860845</v>
      </c>
      <c r="N28" s="134" t="e">
        <f>SUM(N8:N27)</f>
        <v>#REF!</v>
      </c>
      <c r="O28" s="134">
        <f t="shared" ref="O28:P28" si="9">SUM(O8:O27)</f>
        <v>99.999999000000003</v>
      </c>
      <c r="P28" s="134" t="e">
        <f t="shared" si="9"/>
        <v>#REF!</v>
      </c>
      <c r="Q28" s="136">
        <f>SUM(Q8:Q27)</f>
        <v>140.00000000000003</v>
      </c>
      <c r="R28" s="136">
        <f t="shared" ref="R28:T28" si="10">SUM(R8:R27)</f>
        <v>-40</v>
      </c>
      <c r="S28" s="136">
        <f t="shared" si="10"/>
        <v>99.999999000000003</v>
      </c>
      <c r="T28" s="136">
        <f t="shared" si="10"/>
        <v>1.7763568394002505E-15</v>
      </c>
      <c r="U28" s="46"/>
      <c r="V28" s="46"/>
      <c r="W28" s="46"/>
      <c r="X28" s="46"/>
      <c r="Y28" s="134"/>
      <c r="Z28" s="46"/>
    </row>
    <row r="29" spans="1:26" ht="15.75" x14ac:dyDescent="0.25">
      <c r="A29" s="96" t="s">
        <v>89</v>
      </c>
      <c r="B29" s="44"/>
      <c r="C29" s="44"/>
      <c r="D29" s="148"/>
      <c r="E29" s="149"/>
      <c r="F29" s="149"/>
      <c r="G29" s="148"/>
      <c r="H29" s="148"/>
      <c r="I29" s="149"/>
      <c r="J29" s="46"/>
      <c r="K29" s="46"/>
      <c r="L29" s="46"/>
      <c r="M29" s="46"/>
      <c r="N29" s="46"/>
      <c r="O29" s="46"/>
      <c r="P29" s="46"/>
      <c r="Q29" s="46"/>
      <c r="R29" s="46"/>
      <c r="S29" s="46"/>
      <c r="T29" s="46"/>
      <c r="U29" s="46"/>
      <c r="V29" s="46"/>
      <c r="W29" s="46"/>
      <c r="X29" s="46"/>
      <c r="Y29" s="46"/>
      <c r="Z29" s="46"/>
    </row>
    <row r="30" spans="1:26" ht="15.75" x14ac:dyDescent="0.25">
      <c r="A30" s="44"/>
      <c r="B30" s="46"/>
      <c r="C30" s="46"/>
      <c r="D30" s="150"/>
      <c r="E30" s="46"/>
      <c r="F30" s="46"/>
      <c r="G30" s="75"/>
      <c r="H30" s="75"/>
      <c r="I30" s="46"/>
      <c r="J30" s="46"/>
      <c r="K30" s="46"/>
      <c r="L30" s="46"/>
      <c r="M30" s="46"/>
      <c r="N30" s="46"/>
      <c r="O30" s="46"/>
      <c r="P30" s="46"/>
      <c r="Q30" s="46"/>
      <c r="R30" s="46"/>
      <c r="S30" s="46"/>
      <c r="T30" s="46"/>
      <c r="U30" s="46"/>
      <c r="V30" s="46"/>
      <c r="W30" s="46"/>
      <c r="X30" s="46"/>
      <c r="Y30" s="46"/>
      <c r="Z30" s="46"/>
    </row>
    <row r="31" spans="1:26" ht="15.75" x14ac:dyDescent="0.25">
      <c r="A31" s="103" t="s">
        <v>238</v>
      </c>
      <c r="B31" s="46"/>
      <c r="C31" s="46"/>
      <c r="D31" s="75"/>
      <c r="E31" s="46"/>
      <c r="F31" s="46"/>
      <c r="G31" s="75"/>
      <c r="H31" s="75"/>
      <c r="I31" s="46"/>
      <c r="J31" s="46"/>
      <c r="K31" s="46"/>
      <c r="L31" s="46"/>
      <c r="M31" s="46"/>
      <c r="N31" s="46"/>
      <c r="O31" s="46"/>
      <c r="P31" s="46"/>
      <c r="Q31" s="46"/>
      <c r="R31" s="46"/>
      <c r="S31" s="46"/>
      <c r="T31" s="46"/>
      <c r="U31" s="46"/>
      <c r="V31" s="46"/>
      <c r="W31" s="46"/>
      <c r="X31" s="46"/>
      <c r="Y31" s="46"/>
      <c r="Z31" s="46"/>
    </row>
    <row r="32" spans="1:26" ht="15.75" hidden="1" customHeight="1" x14ac:dyDescent="0.25">
      <c r="A32" s="344" t="s">
        <v>109</v>
      </c>
      <c r="B32" s="344"/>
      <c r="C32" s="344"/>
      <c r="D32" s="344"/>
      <c r="E32" s="344"/>
      <c r="F32" s="46"/>
      <c r="G32" s="75"/>
      <c r="H32" s="75"/>
      <c r="I32" s="46"/>
      <c r="J32" s="46"/>
      <c r="K32" s="46"/>
      <c r="L32" s="46"/>
      <c r="M32" s="46"/>
      <c r="N32" s="46"/>
      <c r="O32" s="46"/>
      <c r="P32" s="46"/>
      <c r="Q32" s="46"/>
      <c r="R32" s="46"/>
      <c r="S32" s="46"/>
      <c r="T32" s="46"/>
      <c r="U32" s="46"/>
      <c r="V32" s="46"/>
      <c r="W32" s="46"/>
      <c r="X32" s="46"/>
      <c r="Y32" s="46"/>
      <c r="Z32" s="46"/>
    </row>
    <row r="33" spans="1:6" ht="15" hidden="1" customHeight="1" x14ac:dyDescent="0.25">
      <c r="A33" s="44"/>
      <c r="B33" s="44"/>
      <c r="C33" s="44"/>
      <c r="D33" s="44"/>
      <c r="E33" s="44"/>
      <c r="F33" s="46"/>
    </row>
    <row r="34" spans="1:6" ht="15" hidden="1" customHeight="1" x14ac:dyDescent="0.25">
      <c r="A34" s="358" t="s">
        <v>90</v>
      </c>
      <c r="B34" s="151" t="s">
        <v>110</v>
      </c>
      <c r="C34" s="152" t="s">
        <v>111</v>
      </c>
      <c r="D34" s="152" t="s">
        <v>42</v>
      </c>
      <c r="E34" s="151" t="s">
        <v>112</v>
      </c>
      <c r="F34" s="151" t="s">
        <v>113</v>
      </c>
    </row>
    <row r="35" spans="1:6" ht="15" hidden="1" customHeight="1" x14ac:dyDescent="0.25">
      <c r="A35" s="359"/>
      <c r="B35" s="153" t="s">
        <v>114</v>
      </c>
      <c r="C35" s="154" t="s">
        <v>115</v>
      </c>
      <c r="D35" s="154" t="s">
        <v>116</v>
      </c>
      <c r="E35" s="153" t="s">
        <v>117</v>
      </c>
      <c r="F35" s="153" t="s">
        <v>118</v>
      </c>
    </row>
    <row r="36" spans="1:6" ht="15" hidden="1" customHeight="1" x14ac:dyDescent="0.25">
      <c r="A36" s="359"/>
      <c r="B36" s="155" t="s">
        <v>119</v>
      </c>
      <c r="C36" s="154" t="s">
        <v>120</v>
      </c>
      <c r="D36" s="154" t="s">
        <v>121</v>
      </c>
      <c r="E36" s="153">
        <v>2014</v>
      </c>
      <c r="F36" s="153" t="s">
        <v>122</v>
      </c>
    </row>
    <row r="37" spans="1:6" ht="15" hidden="1" customHeight="1" x14ac:dyDescent="0.25">
      <c r="A37" s="360"/>
      <c r="B37" s="156" t="s">
        <v>54</v>
      </c>
      <c r="C37" s="156" t="s">
        <v>55</v>
      </c>
      <c r="D37" s="156" t="s">
        <v>56</v>
      </c>
      <c r="E37" s="156" t="s">
        <v>123</v>
      </c>
      <c r="F37" s="156" t="s">
        <v>58</v>
      </c>
    </row>
    <row r="38" spans="1:6" ht="15" hidden="1" customHeight="1" x14ac:dyDescent="0.2">
      <c r="A38" s="157" t="s">
        <v>68</v>
      </c>
      <c r="B38" s="149" t="e">
        <f>#REF!*0.7</f>
        <v>#REF!</v>
      </c>
      <c r="C38" s="149">
        <f t="shared" ref="C38:C58" si="11">D8+G8</f>
        <v>4916.1927501705159</v>
      </c>
      <c r="D38" s="149" t="e">
        <f>#REF!+C38</f>
        <v>#REF!</v>
      </c>
      <c r="E38" s="149" t="e">
        <f>B38+C38</f>
        <v>#REF!</v>
      </c>
      <c r="F38" s="158" t="e">
        <f>D38-E38</f>
        <v>#REF!</v>
      </c>
    </row>
    <row r="39" spans="1:6" ht="15" hidden="1" customHeight="1" x14ac:dyDescent="0.2">
      <c r="A39" s="159" t="s">
        <v>69</v>
      </c>
      <c r="B39" s="149" t="e">
        <f>#REF!*0.7</f>
        <v>#REF!</v>
      </c>
      <c r="C39" s="149">
        <f t="shared" si="11"/>
        <v>2356.7121212984789</v>
      </c>
      <c r="D39" s="149" t="e">
        <f>#REF!+C39</f>
        <v>#REF!</v>
      </c>
      <c r="E39" s="149" t="e">
        <f t="shared" ref="E39:E57" si="12">B39+C39</f>
        <v>#REF!</v>
      </c>
      <c r="F39" s="158" t="e">
        <f t="shared" ref="F39:F57" si="13">D39-E39</f>
        <v>#REF!</v>
      </c>
    </row>
    <row r="40" spans="1:6" ht="15" hidden="1" customHeight="1" x14ac:dyDescent="0.2">
      <c r="A40" s="159" t="s">
        <v>70</v>
      </c>
      <c r="B40" s="149" t="e">
        <f>#REF!*0.7</f>
        <v>#REF!</v>
      </c>
      <c r="C40" s="149">
        <f t="shared" si="11"/>
        <v>1523.8655838507709</v>
      </c>
      <c r="D40" s="149" t="e">
        <f>#REF!+C40</f>
        <v>#REF!</v>
      </c>
      <c r="E40" s="149" t="e">
        <f t="shared" si="12"/>
        <v>#REF!</v>
      </c>
      <c r="F40" s="158" t="e">
        <f t="shared" si="13"/>
        <v>#REF!</v>
      </c>
    </row>
    <row r="41" spans="1:6" ht="15" hidden="1" customHeight="1" x14ac:dyDescent="0.2">
      <c r="A41" s="159" t="s">
        <v>71</v>
      </c>
      <c r="B41" s="149" t="e">
        <f>#REF!*0.7</f>
        <v>#REF!</v>
      </c>
      <c r="C41" s="149">
        <f t="shared" si="11"/>
        <v>56900.982269935274</v>
      </c>
      <c r="D41" s="149" t="e">
        <f>#REF!+C41</f>
        <v>#REF!</v>
      </c>
      <c r="E41" s="149" t="e">
        <f t="shared" si="12"/>
        <v>#REF!</v>
      </c>
      <c r="F41" s="158" t="e">
        <f t="shared" si="13"/>
        <v>#REF!</v>
      </c>
    </row>
    <row r="42" spans="1:6" ht="15" hidden="1" customHeight="1" x14ac:dyDescent="0.2">
      <c r="A42" s="159" t="s">
        <v>72</v>
      </c>
      <c r="B42" s="149" t="e">
        <f>#REF!*0.7</f>
        <v>#REF!</v>
      </c>
      <c r="C42" s="149">
        <f t="shared" si="11"/>
        <v>10465.554939408616</v>
      </c>
      <c r="D42" s="149" t="e">
        <f>#REF!+C42</f>
        <v>#REF!</v>
      </c>
      <c r="E42" s="149" t="e">
        <f t="shared" si="12"/>
        <v>#REF!</v>
      </c>
      <c r="F42" s="158" t="e">
        <f t="shared" si="13"/>
        <v>#REF!</v>
      </c>
    </row>
    <row r="43" spans="1:6" ht="15" hidden="1" customHeight="1" x14ac:dyDescent="0.2">
      <c r="A43" s="159" t="s">
        <v>73</v>
      </c>
      <c r="B43" s="149" t="e">
        <f>#REF!*0.7</f>
        <v>#REF!</v>
      </c>
      <c r="C43" s="149">
        <f t="shared" si="11"/>
        <v>3711.9347361081377</v>
      </c>
      <c r="D43" s="149" t="e">
        <f>#REF!+C43</f>
        <v>#REF!</v>
      </c>
      <c r="E43" s="149" t="e">
        <f t="shared" si="12"/>
        <v>#REF!</v>
      </c>
      <c r="F43" s="158" t="e">
        <f t="shared" si="13"/>
        <v>#REF!</v>
      </c>
    </row>
    <row r="44" spans="1:6" ht="15" hidden="1" customHeight="1" x14ac:dyDescent="0.2">
      <c r="A44" s="159" t="s">
        <v>74</v>
      </c>
      <c r="B44" s="149" t="e">
        <f>#REF!*0.7</f>
        <v>#REF!</v>
      </c>
      <c r="C44" s="149">
        <f t="shared" si="11"/>
        <v>1109.9814192584188</v>
      </c>
      <c r="D44" s="149" t="e">
        <f>#REF!+C44</f>
        <v>#REF!</v>
      </c>
      <c r="E44" s="149" t="e">
        <f t="shared" si="12"/>
        <v>#REF!</v>
      </c>
      <c r="F44" s="158" t="e">
        <f t="shared" si="13"/>
        <v>#REF!</v>
      </c>
    </row>
    <row r="45" spans="1:6" ht="15" hidden="1" customHeight="1" x14ac:dyDescent="0.2">
      <c r="A45" s="159" t="s">
        <v>75</v>
      </c>
      <c r="B45" s="149" t="e">
        <f>#REF!*0.7</f>
        <v>#REF!</v>
      </c>
      <c r="C45" s="149">
        <f t="shared" si="11"/>
        <v>4301.1108625814832</v>
      </c>
      <c r="D45" s="149" t="e">
        <f>#REF!+C45</f>
        <v>#REF!</v>
      </c>
      <c r="E45" s="149" t="e">
        <f t="shared" si="12"/>
        <v>#REF!</v>
      </c>
      <c r="F45" s="158" t="e">
        <f t="shared" si="13"/>
        <v>#REF!</v>
      </c>
    </row>
    <row r="46" spans="1:6" ht="15" hidden="1" customHeight="1" x14ac:dyDescent="0.2">
      <c r="A46" s="159" t="s">
        <v>76</v>
      </c>
      <c r="B46" s="149" t="e">
        <f>#REF!*0.7</f>
        <v>#REF!</v>
      </c>
      <c r="C46" s="149">
        <f t="shared" si="11"/>
        <v>2125.6513095323753</v>
      </c>
      <c r="D46" s="149" t="e">
        <f>#REF!+C46</f>
        <v>#REF!</v>
      </c>
      <c r="E46" s="149" t="e">
        <f t="shared" si="12"/>
        <v>#REF!</v>
      </c>
      <c r="F46" s="158" t="e">
        <f t="shared" si="13"/>
        <v>#REF!</v>
      </c>
    </row>
    <row r="47" spans="1:6" ht="15" hidden="1" customHeight="1" x14ac:dyDescent="0.2">
      <c r="A47" s="159" t="s">
        <v>77</v>
      </c>
      <c r="B47" s="149" t="e">
        <f>#REF!*0.7</f>
        <v>#REF!</v>
      </c>
      <c r="C47" s="149">
        <f t="shared" si="11"/>
        <v>1597.5628382047535</v>
      </c>
      <c r="D47" s="149" t="e">
        <f>#REF!+C47</f>
        <v>#REF!</v>
      </c>
      <c r="E47" s="149" t="e">
        <f t="shared" si="12"/>
        <v>#REF!</v>
      </c>
      <c r="F47" s="158" t="e">
        <f t="shared" si="13"/>
        <v>#REF!</v>
      </c>
    </row>
    <row r="48" spans="1:6" ht="15" hidden="1" customHeight="1" x14ac:dyDescent="0.2">
      <c r="A48" s="159" t="s">
        <v>78</v>
      </c>
      <c r="B48" s="149" t="e">
        <f>#REF!*0.7</f>
        <v>#REF!</v>
      </c>
      <c r="C48" s="149">
        <f t="shared" si="11"/>
        <v>3295.3542189144819</v>
      </c>
      <c r="D48" s="149" t="e">
        <f>#REF!+C48</f>
        <v>#REF!</v>
      </c>
      <c r="E48" s="149" t="e">
        <f t="shared" si="12"/>
        <v>#REF!</v>
      </c>
      <c r="F48" s="158" t="e">
        <f t="shared" si="13"/>
        <v>#REF!</v>
      </c>
    </row>
    <row r="49" spans="1:6" ht="15" hidden="1" customHeight="1" x14ac:dyDescent="0.2">
      <c r="A49" s="159" t="s">
        <v>79</v>
      </c>
      <c r="B49" s="149" t="e">
        <f>#REF!*0.7</f>
        <v>#REF!</v>
      </c>
      <c r="C49" s="149">
        <f t="shared" si="11"/>
        <v>2552.7425749417698</v>
      </c>
      <c r="D49" s="149" t="e">
        <f>#REF!+C49</f>
        <v>#REF!</v>
      </c>
      <c r="E49" s="149" t="e">
        <f t="shared" si="12"/>
        <v>#REF!</v>
      </c>
      <c r="F49" s="158" t="e">
        <f t="shared" si="13"/>
        <v>#REF!</v>
      </c>
    </row>
    <row r="50" spans="1:6" ht="15" hidden="1" customHeight="1" x14ac:dyDescent="0.2">
      <c r="A50" s="159" t="s">
        <v>80</v>
      </c>
      <c r="B50" s="149" t="e">
        <f>#REF!*0.7</f>
        <v>#REF!</v>
      </c>
      <c r="C50" s="149">
        <f t="shared" si="11"/>
        <v>4817.5861696142574</v>
      </c>
      <c r="D50" s="149" t="e">
        <f>#REF!+C50</f>
        <v>#REF!</v>
      </c>
      <c r="E50" s="149" t="e">
        <f t="shared" si="12"/>
        <v>#REF!</v>
      </c>
      <c r="F50" s="158" t="e">
        <f t="shared" si="13"/>
        <v>#REF!</v>
      </c>
    </row>
    <row r="51" spans="1:6" ht="15" hidden="1" customHeight="1" x14ac:dyDescent="0.2">
      <c r="A51" s="159" t="s">
        <v>81</v>
      </c>
      <c r="B51" s="149" t="e">
        <f>#REF!*0.7</f>
        <v>#REF!</v>
      </c>
      <c r="C51" s="149">
        <f t="shared" si="11"/>
        <v>923.75724399302601</v>
      </c>
      <c r="D51" s="149" t="e">
        <f>#REF!+C51</f>
        <v>#REF!</v>
      </c>
      <c r="E51" s="149" t="e">
        <f t="shared" si="12"/>
        <v>#REF!</v>
      </c>
      <c r="F51" s="158" t="e">
        <f t="shared" si="13"/>
        <v>#REF!</v>
      </c>
    </row>
    <row r="52" spans="1:6" ht="15" hidden="1" customHeight="1" x14ac:dyDescent="0.2">
      <c r="A52" s="159" t="s">
        <v>82</v>
      </c>
      <c r="B52" s="149" t="e">
        <f>#REF!*0.7</f>
        <v>#REF!</v>
      </c>
      <c r="C52" s="149">
        <f t="shared" si="11"/>
        <v>2723.9449199646529</v>
      </c>
      <c r="D52" s="149" t="e">
        <f>#REF!+C52</f>
        <v>#REF!</v>
      </c>
      <c r="E52" s="149" t="e">
        <f t="shared" si="12"/>
        <v>#REF!</v>
      </c>
      <c r="F52" s="158" t="e">
        <f t="shared" si="13"/>
        <v>#REF!</v>
      </c>
    </row>
    <row r="53" spans="1:6" ht="15" hidden="1" customHeight="1" x14ac:dyDescent="0.2">
      <c r="A53" s="159" t="s">
        <v>83</v>
      </c>
      <c r="B53" s="149" t="e">
        <f>#REF!*0.7</f>
        <v>#REF!</v>
      </c>
      <c r="C53" s="149">
        <f t="shared" si="11"/>
        <v>10923.029717714697</v>
      </c>
      <c r="D53" s="149" t="e">
        <f>#REF!+C53</f>
        <v>#REF!</v>
      </c>
      <c r="E53" s="149" t="e">
        <f t="shared" si="12"/>
        <v>#REF!</v>
      </c>
      <c r="F53" s="158" t="e">
        <f t="shared" si="13"/>
        <v>#REF!</v>
      </c>
    </row>
    <row r="54" spans="1:6" ht="15" hidden="1" customHeight="1" x14ac:dyDescent="0.2">
      <c r="A54" s="159" t="s">
        <v>84</v>
      </c>
      <c r="B54" s="149" t="e">
        <f>#REF!*0.7</f>
        <v>#REF!</v>
      </c>
      <c r="C54" s="149">
        <f t="shared" si="11"/>
        <v>4099.917255089531</v>
      </c>
      <c r="D54" s="149" t="e">
        <f>#REF!+C54</f>
        <v>#REF!</v>
      </c>
      <c r="E54" s="149" t="e">
        <f t="shared" si="12"/>
        <v>#REF!</v>
      </c>
      <c r="F54" s="158" t="e">
        <f t="shared" si="13"/>
        <v>#REF!</v>
      </c>
    </row>
    <row r="55" spans="1:6" ht="15" hidden="1" customHeight="1" x14ac:dyDescent="0.2">
      <c r="A55" s="159" t="s">
        <v>85</v>
      </c>
      <c r="B55" s="149" t="e">
        <f>#REF!*0.7</f>
        <v>#REF!</v>
      </c>
      <c r="C55" s="149">
        <f t="shared" si="11"/>
        <v>73248.399316311057</v>
      </c>
      <c r="D55" s="149" t="e">
        <f>#REF!+C55</f>
        <v>#REF!</v>
      </c>
      <c r="E55" s="149" t="e">
        <f t="shared" si="12"/>
        <v>#REF!</v>
      </c>
      <c r="F55" s="158" t="e">
        <f t="shared" si="13"/>
        <v>#REF!</v>
      </c>
    </row>
    <row r="56" spans="1:6" ht="15" hidden="1" customHeight="1" x14ac:dyDescent="0.2">
      <c r="A56" s="159" t="s">
        <v>86</v>
      </c>
      <c r="B56" s="149" t="e">
        <f>#REF!*0.7</f>
        <v>#REF!</v>
      </c>
      <c r="C56" s="149">
        <f t="shared" si="11"/>
        <v>3045.6749719308887</v>
      </c>
      <c r="D56" s="149" t="e">
        <f>#REF!+C56</f>
        <v>#REF!</v>
      </c>
      <c r="E56" s="149" t="e">
        <f t="shared" si="12"/>
        <v>#REF!</v>
      </c>
      <c r="F56" s="158" t="e">
        <f t="shared" si="13"/>
        <v>#REF!</v>
      </c>
    </row>
    <row r="57" spans="1:6" ht="15" hidden="1" customHeight="1" x14ac:dyDescent="0.2">
      <c r="A57" s="159" t="s">
        <v>87</v>
      </c>
      <c r="B57" s="149" t="e">
        <f>#REF!*0.7</f>
        <v>#REF!</v>
      </c>
      <c r="C57" s="149">
        <f t="shared" si="11"/>
        <v>10636.044781176817</v>
      </c>
      <c r="D57" s="149" t="e">
        <f>#REF!+C57</f>
        <v>#REF!</v>
      </c>
      <c r="E57" s="149" t="e">
        <f t="shared" si="12"/>
        <v>#REF!</v>
      </c>
      <c r="F57" s="158" t="e">
        <f t="shared" si="13"/>
        <v>#REF!</v>
      </c>
    </row>
    <row r="58" spans="1:6" ht="15" hidden="1" customHeight="1" x14ac:dyDescent="0.25">
      <c r="A58" s="160" t="s">
        <v>88</v>
      </c>
      <c r="B58" s="161" t="e">
        <f>#REF!*0.7</f>
        <v>#REF!</v>
      </c>
      <c r="C58" s="161">
        <f t="shared" si="11"/>
        <v>205276</v>
      </c>
      <c r="D58" s="161" t="e">
        <f>#REF!+C58</f>
        <v>#REF!</v>
      </c>
      <c r="E58" s="161" t="e">
        <f>SUM(E38:E57)</f>
        <v>#REF!</v>
      </c>
      <c r="F58" s="162">
        <v>0</v>
      </c>
    </row>
    <row r="59" spans="1:6" ht="15.75" x14ac:dyDescent="0.25">
      <c r="A59" s="46"/>
      <c r="B59" s="46"/>
      <c r="C59" s="46"/>
      <c r="D59" s="75"/>
      <c r="E59" s="46"/>
      <c r="F59" s="46"/>
    </row>
  </sheetData>
  <mergeCells count="10">
    <mergeCell ref="A32:E32"/>
    <mergeCell ref="A34:A37"/>
    <mergeCell ref="A1:I1"/>
    <mergeCell ref="A2:I2"/>
    <mergeCell ref="A3:A7"/>
    <mergeCell ref="B3:D3"/>
    <mergeCell ref="E3:H3"/>
    <mergeCell ref="E4:F4"/>
    <mergeCell ref="H4:H6"/>
    <mergeCell ref="E5:F5"/>
  </mergeCells>
  <printOptions horizontalCentered="1"/>
  <pageMargins left="0.51181102362204722" right="0.70866141732283472" top="0.74803149606299213" bottom="0.74803149606299213" header="0.31496062992125984" footer="0.31496062992125984"/>
  <pageSetup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tint="-0.249977111117893"/>
    <pageSetUpPr fitToPage="1"/>
  </sheetPr>
  <dimension ref="B1:E29"/>
  <sheetViews>
    <sheetView workbookViewId="0">
      <selection activeCell="B2" sqref="B2:D2"/>
    </sheetView>
  </sheetViews>
  <sheetFormatPr baseColWidth="10" defaultRowHeight="15" x14ac:dyDescent="0.25"/>
  <cols>
    <col min="1" max="1" width="2.77734375" style="46" customWidth="1"/>
    <col min="2" max="2" width="26.77734375" style="46" customWidth="1"/>
    <col min="3" max="3" width="15" style="45" customWidth="1"/>
    <col min="4" max="4" width="17.33203125" style="106" customWidth="1"/>
    <col min="5" max="5" width="10.109375" style="46" customWidth="1"/>
    <col min="6" max="6" width="14.77734375" style="46" customWidth="1"/>
    <col min="7" max="7" width="10" style="46" customWidth="1"/>
    <col min="8" max="16384" width="11.5546875" style="46"/>
  </cols>
  <sheetData>
    <row r="1" spans="2:5" x14ac:dyDescent="0.25">
      <c r="B1" s="44"/>
      <c r="C1" s="163"/>
    </row>
    <row r="2" spans="2:5" ht="33.75" customHeight="1" thickBot="1" x14ac:dyDescent="0.3">
      <c r="B2" s="375" t="s">
        <v>223</v>
      </c>
      <c r="C2" s="375"/>
      <c r="D2" s="375"/>
    </row>
    <row r="3" spans="2:5" x14ac:dyDescent="0.25">
      <c r="B3" s="376" t="s">
        <v>90</v>
      </c>
      <c r="C3" s="376" t="s">
        <v>224</v>
      </c>
      <c r="D3" s="381" t="s">
        <v>225</v>
      </c>
    </row>
    <row r="4" spans="2:5" x14ac:dyDescent="0.25">
      <c r="B4" s="377"/>
      <c r="C4" s="379"/>
      <c r="D4" s="382"/>
    </row>
    <row r="5" spans="2:5" x14ac:dyDescent="0.25">
      <c r="B5" s="377"/>
      <c r="C5" s="379"/>
      <c r="D5" s="382"/>
    </row>
    <row r="6" spans="2:5" ht="15.75" thickBot="1" x14ac:dyDescent="0.3">
      <c r="B6" s="378"/>
      <c r="C6" s="380"/>
      <c r="D6" s="383"/>
    </row>
    <row r="7" spans="2:5" x14ac:dyDescent="0.25">
      <c r="B7" s="164" t="s">
        <v>68</v>
      </c>
      <c r="C7" s="165">
        <v>5</v>
      </c>
      <c r="D7" s="166">
        <f>Datos!$L$49*'IEPS TyA'!C7/100</f>
        <v>54667.8</v>
      </c>
      <c r="E7" s="167"/>
    </row>
    <row r="8" spans="2:5" x14ac:dyDescent="0.25">
      <c r="B8" s="168" t="s">
        <v>69</v>
      </c>
      <c r="C8" s="169">
        <v>5</v>
      </c>
      <c r="D8" s="170">
        <f>Datos!$L$49*'IEPS TyA'!C8/100</f>
        <v>54667.8</v>
      </c>
      <c r="E8" s="167"/>
    </row>
    <row r="9" spans="2:5" x14ac:dyDescent="0.25">
      <c r="B9" s="168" t="s">
        <v>70</v>
      </c>
      <c r="C9" s="169">
        <v>5</v>
      </c>
      <c r="D9" s="170">
        <f>Datos!$L$49*'IEPS TyA'!C9/100</f>
        <v>54667.8</v>
      </c>
      <c r="E9" s="167"/>
    </row>
    <row r="10" spans="2:5" x14ac:dyDescent="0.25">
      <c r="B10" s="168" t="s">
        <v>71</v>
      </c>
      <c r="C10" s="169">
        <v>5</v>
      </c>
      <c r="D10" s="170">
        <f>Datos!$L$49*'IEPS TyA'!C10/100</f>
        <v>54667.8</v>
      </c>
      <c r="E10" s="167"/>
    </row>
    <row r="11" spans="2:5" x14ac:dyDescent="0.25">
      <c r="B11" s="168" t="s">
        <v>72</v>
      </c>
      <c r="C11" s="169">
        <v>5</v>
      </c>
      <c r="D11" s="170">
        <f>Datos!$L$49*'IEPS TyA'!C11/100</f>
        <v>54667.8</v>
      </c>
      <c r="E11" s="167"/>
    </row>
    <row r="12" spans="2:5" x14ac:dyDescent="0.25">
      <c r="B12" s="168" t="s">
        <v>73</v>
      </c>
      <c r="C12" s="169">
        <v>5</v>
      </c>
      <c r="D12" s="170">
        <f>Datos!$L$49*'IEPS TyA'!C12/100</f>
        <v>54667.8</v>
      </c>
      <c r="E12" s="167"/>
    </row>
    <row r="13" spans="2:5" x14ac:dyDescent="0.25">
      <c r="B13" s="168" t="s">
        <v>74</v>
      </c>
      <c r="C13" s="169">
        <v>5</v>
      </c>
      <c r="D13" s="170">
        <f>Datos!$L$49*'IEPS TyA'!C13/100</f>
        <v>54667.8</v>
      </c>
      <c r="E13" s="167"/>
    </row>
    <row r="14" spans="2:5" x14ac:dyDescent="0.25">
      <c r="B14" s="168" t="s">
        <v>75</v>
      </c>
      <c r="C14" s="169">
        <v>5</v>
      </c>
      <c r="D14" s="170">
        <f>Datos!$L$49*'IEPS TyA'!C14/100</f>
        <v>54667.8</v>
      </c>
      <c r="E14" s="167"/>
    </row>
    <row r="15" spans="2:5" x14ac:dyDescent="0.25">
      <c r="B15" s="168" t="s">
        <v>76</v>
      </c>
      <c r="C15" s="169">
        <v>5</v>
      </c>
      <c r="D15" s="170">
        <f>Datos!$L$49*'IEPS TyA'!C15/100</f>
        <v>54667.8</v>
      </c>
      <c r="E15" s="167"/>
    </row>
    <row r="16" spans="2:5" x14ac:dyDescent="0.25">
      <c r="B16" s="168" t="s">
        <v>77</v>
      </c>
      <c r="C16" s="169">
        <v>5</v>
      </c>
      <c r="D16" s="170">
        <f>Datos!$L$49*'IEPS TyA'!C16/100</f>
        <v>54667.8</v>
      </c>
      <c r="E16" s="167"/>
    </row>
    <row r="17" spans="2:5" x14ac:dyDescent="0.25">
      <c r="B17" s="168" t="s">
        <v>78</v>
      </c>
      <c r="C17" s="169">
        <v>5</v>
      </c>
      <c r="D17" s="170">
        <f>Datos!$L$49*'IEPS TyA'!C17/100</f>
        <v>54667.8</v>
      </c>
      <c r="E17" s="167"/>
    </row>
    <row r="18" spans="2:5" x14ac:dyDescent="0.25">
      <c r="B18" s="168" t="s">
        <v>79</v>
      </c>
      <c r="C18" s="169">
        <v>5</v>
      </c>
      <c r="D18" s="170">
        <f>Datos!$L$49*'IEPS TyA'!C18/100</f>
        <v>54667.8</v>
      </c>
      <c r="E18" s="167"/>
    </row>
    <row r="19" spans="2:5" x14ac:dyDescent="0.25">
      <c r="B19" s="168" t="s">
        <v>80</v>
      </c>
      <c r="C19" s="169">
        <v>5</v>
      </c>
      <c r="D19" s="170">
        <f>Datos!$L$49*'IEPS TyA'!C19/100</f>
        <v>54667.8</v>
      </c>
      <c r="E19" s="167"/>
    </row>
    <row r="20" spans="2:5" x14ac:dyDescent="0.25">
      <c r="B20" s="168" t="s">
        <v>81</v>
      </c>
      <c r="C20" s="169">
        <v>5</v>
      </c>
      <c r="D20" s="170">
        <f>Datos!$L$49*'IEPS TyA'!C20/100</f>
        <v>54667.8</v>
      </c>
      <c r="E20" s="167"/>
    </row>
    <row r="21" spans="2:5" x14ac:dyDescent="0.25">
      <c r="B21" s="168" t="s">
        <v>82</v>
      </c>
      <c r="C21" s="169">
        <v>5</v>
      </c>
      <c r="D21" s="170">
        <f>Datos!$L$49*'IEPS TyA'!C21/100</f>
        <v>54667.8</v>
      </c>
      <c r="E21" s="167"/>
    </row>
    <row r="22" spans="2:5" x14ac:dyDescent="0.25">
      <c r="B22" s="168" t="s">
        <v>83</v>
      </c>
      <c r="C22" s="169">
        <v>5</v>
      </c>
      <c r="D22" s="170">
        <f>Datos!$L$49*'IEPS TyA'!C22/100</f>
        <v>54667.8</v>
      </c>
      <c r="E22" s="167"/>
    </row>
    <row r="23" spans="2:5" x14ac:dyDescent="0.25">
      <c r="B23" s="168" t="s">
        <v>84</v>
      </c>
      <c r="C23" s="169">
        <v>5</v>
      </c>
      <c r="D23" s="170">
        <f>Datos!$L$49*'IEPS TyA'!C23/100</f>
        <v>54667.8</v>
      </c>
      <c r="E23" s="167"/>
    </row>
    <row r="24" spans="2:5" x14ac:dyDescent="0.25">
      <c r="B24" s="168" t="s">
        <v>85</v>
      </c>
      <c r="C24" s="169">
        <v>5</v>
      </c>
      <c r="D24" s="170">
        <f>Datos!$L$49*'IEPS TyA'!C24/100</f>
        <v>54667.8</v>
      </c>
      <c r="E24" s="167"/>
    </row>
    <row r="25" spans="2:5" x14ac:dyDescent="0.25">
      <c r="B25" s="168" t="s">
        <v>86</v>
      </c>
      <c r="C25" s="169">
        <v>5</v>
      </c>
      <c r="D25" s="170">
        <f>Datos!$L$49*'IEPS TyA'!C25/100</f>
        <v>54667.8</v>
      </c>
      <c r="E25" s="167"/>
    </row>
    <row r="26" spans="2:5" ht="15.75" thickBot="1" x14ac:dyDescent="0.3">
      <c r="B26" s="171" t="s">
        <v>87</v>
      </c>
      <c r="C26" s="172">
        <v>5</v>
      </c>
      <c r="D26" s="173">
        <f>Datos!$L$49*'IEPS TyA'!C26/100</f>
        <v>54667.8</v>
      </c>
      <c r="E26" s="167"/>
    </row>
    <row r="27" spans="2:5" ht="15.75" thickBot="1" x14ac:dyDescent="0.3">
      <c r="B27" s="264" t="s">
        <v>88</v>
      </c>
      <c r="C27" s="266">
        <v>100</v>
      </c>
      <c r="D27" s="267">
        <f>SUM(D7:D26)</f>
        <v>1093356.0000000005</v>
      </c>
      <c r="E27" s="167"/>
    </row>
    <row r="28" spans="2:5" x14ac:dyDescent="0.25">
      <c r="B28" s="96" t="s">
        <v>89</v>
      </c>
      <c r="C28" s="163"/>
    </row>
    <row r="29" spans="2:5" x14ac:dyDescent="0.25">
      <c r="B29" s="103" t="s">
        <v>239</v>
      </c>
      <c r="C29" s="174"/>
      <c r="D29" s="174"/>
    </row>
  </sheetData>
  <mergeCells count="4">
    <mergeCell ref="B2:D2"/>
    <mergeCell ref="B3:B6"/>
    <mergeCell ref="C3:C6"/>
    <mergeCell ref="D3:D6"/>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tint="-0.249977111117893"/>
    <pageSetUpPr fitToPage="1"/>
  </sheetPr>
  <dimension ref="B1:M34"/>
  <sheetViews>
    <sheetView zoomScaleNormal="100" workbookViewId="0">
      <selection activeCell="B2" sqref="B2:H2"/>
    </sheetView>
  </sheetViews>
  <sheetFormatPr baseColWidth="10" defaultRowHeight="15" x14ac:dyDescent="0.25"/>
  <cols>
    <col min="1" max="1" width="2.77734375" style="46" customWidth="1"/>
    <col min="2" max="2" width="15.88671875" style="46" customWidth="1"/>
    <col min="3" max="3" width="11.109375" style="46" customWidth="1"/>
    <col min="4" max="4" width="10.5546875" style="46" customWidth="1"/>
    <col min="5" max="5" width="10.109375" style="45" customWidth="1"/>
    <col min="6" max="6" width="10.6640625" style="45" customWidth="1"/>
    <col min="7" max="7" width="11.33203125" style="46" customWidth="1"/>
    <col min="8" max="8" width="10" style="106" customWidth="1"/>
    <col min="9" max="11" width="0" style="46" hidden="1" customWidth="1"/>
    <col min="12" max="16384" width="11.5546875" style="46"/>
  </cols>
  <sheetData>
    <row r="1" spans="2:13" x14ac:dyDescent="0.25">
      <c r="B1" s="175"/>
      <c r="C1" s="175"/>
      <c r="D1" s="175"/>
      <c r="E1" s="176"/>
      <c r="F1" s="176"/>
      <c r="G1" s="177"/>
    </row>
    <row r="2" spans="2:13" ht="15.75" thickBot="1" x14ac:dyDescent="0.3">
      <c r="B2" s="385" t="s">
        <v>241</v>
      </c>
      <c r="C2" s="385"/>
      <c r="D2" s="385"/>
      <c r="E2" s="385"/>
      <c r="F2" s="385"/>
      <c r="G2" s="385"/>
      <c r="H2" s="385"/>
    </row>
    <row r="3" spans="2:13" ht="15" customHeight="1" x14ac:dyDescent="0.25">
      <c r="B3" s="365" t="s">
        <v>90</v>
      </c>
      <c r="C3" s="386" t="s">
        <v>124</v>
      </c>
      <c r="D3" s="386" t="s">
        <v>125</v>
      </c>
      <c r="E3" s="178" t="s">
        <v>126</v>
      </c>
      <c r="F3" s="179" t="s">
        <v>127</v>
      </c>
      <c r="G3" s="178" t="s">
        <v>128</v>
      </c>
      <c r="H3" s="388" t="s">
        <v>234</v>
      </c>
    </row>
    <row r="4" spans="2:13" x14ac:dyDescent="0.25">
      <c r="B4" s="366"/>
      <c r="C4" s="387"/>
      <c r="D4" s="387"/>
      <c r="E4" s="180">
        <v>2015</v>
      </c>
      <c r="F4" s="181" t="s">
        <v>129</v>
      </c>
      <c r="G4" s="180" t="s">
        <v>130</v>
      </c>
      <c r="H4" s="389"/>
    </row>
    <row r="5" spans="2:13" x14ac:dyDescent="0.25">
      <c r="B5" s="366"/>
      <c r="C5" s="180" t="s">
        <v>131</v>
      </c>
      <c r="D5" s="181" t="s">
        <v>131</v>
      </c>
      <c r="E5" s="180"/>
      <c r="F5" s="181" t="s">
        <v>44</v>
      </c>
      <c r="G5" s="180"/>
      <c r="H5" s="389"/>
    </row>
    <row r="6" spans="2:13" ht="15.75" thickBot="1" x14ac:dyDescent="0.3">
      <c r="B6" s="367"/>
      <c r="C6" s="182" t="s">
        <v>52</v>
      </c>
      <c r="D6" s="183" t="s">
        <v>98</v>
      </c>
      <c r="E6" s="182" t="s">
        <v>54</v>
      </c>
      <c r="F6" s="184" t="s">
        <v>132</v>
      </c>
      <c r="G6" s="185" t="s">
        <v>133</v>
      </c>
      <c r="H6" s="186" t="s">
        <v>57</v>
      </c>
      <c r="I6" s="187" t="s">
        <v>103</v>
      </c>
      <c r="J6" s="188" t="s">
        <v>134</v>
      </c>
      <c r="K6" s="189"/>
    </row>
    <row r="7" spans="2:13" x14ac:dyDescent="0.25">
      <c r="B7" s="190" t="s">
        <v>68</v>
      </c>
      <c r="C7" s="191">
        <f>'Predial y Agua'!G9</f>
        <v>11206191</v>
      </c>
      <c r="D7" s="192">
        <f>C7/$C$27*100</f>
        <v>1.6308681396833062</v>
      </c>
      <c r="E7" s="191">
        <f>'CENSO 2015'!C10</f>
        <v>37309</v>
      </c>
      <c r="F7" s="193">
        <f>D7*E7</f>
        <v>60846.059423444472</v>
      </c>
      <c r="G7" s="194">
        <f>F7/F$27*100</f>
        <v>0.26983085665102891</v>
      </c>
      <c r="H7" s="195">
        <f>$H$27*G7/100</f>
        <v>5559.7538333546536</v>
      </c>
      <c r="I7" s="196">
        <f t="shared" ref="I7:I26" si="0">G7</f>
        <v>0.26983085665102891</v>
      </c>
      <c r="J7" s="189">
        <v>0.307836</v>
      </c>
      <c r="K7" s="196">
        <f>I7-J7</f>
        <v>-3.8005143348971093E-2</v>
      </c>
    </row>
    <row r="8" spans="2:13" x14ac:dyDescent="0.25">
      <c r="B8" s="126" t="s">
        <v>69</v>
      </c>
      <c r="C8" s="130">
        <f>'Predial y Agua'!G10</f>
        <v>6496081</v>
      </c>
      <c r="D8" s="197">
        <f t="shared" ref="D8:D26" si="1">C8/$C$27*100</f>
        <v>0.94539273297252135</v>
      </c>
      <c r="E8" s="130">
        <f>'CENSO 2015'!C11</f>
        <v>15953</v>
      </c>
      <c r="F8" s="133">
        <f t="shared" ref="F8:F26" si="2">D8*E8</f>
        <v>15081.850269110633</v>
      </c>
      <c r="G8" s="198">
        <f t="shared" ref="G8:G27" si="3">F8/F$27*100</f>
        <v>6.6882697360490753E-2</v>
      </c>
      <c r="H8" s="199">
        <f t="shared" ref="H8:H26" si="4">$H$27*G8/100</f>
        <v>1378.0904736036225</v>
      </c>
      <c r="I8" s="196">
        <f t="shared" si="0"/>
        <v>6.6882697360490753E-2</v>
      </c>
      <c r="J8" s="189">
        <v>5.7023999999999998E-2</v>
      </c>
      <c r="K8" s="196">
        <f t="shared" ref="K8:K26" si="5">I8-J8</f>
        <v>9.8586973604907549E-3</v>
      </c>
    </row>
    <row r="9" spans="2:13" x14ac:dyDescent="0.25">
      <c r="B9" s="126" t="s">
        <v>70</v>
      </c>
      <c r="C9" s="130">
        <f>'Predial y Agua'!G11</f>
        <v>3306953</v>
      </c>
      <c r="D9" s="197">
        <f t="shared" si="1"/>
        <v>0.48127006644185599</v>
      </c>
      <c r="E9" s="130">
        <f>'CENSO 2015'!C12</f>
        <v>11851</v>
      </c>
      <c r="F9" s="133">
        <f t="shared" si="2"/>
        <v>5703.5315574024353</v>
      </c>
      <c r="G9" s="198">
        <f t="shared" si="3"/>
        <v>2.52931549003006E-2</v>
      </c>
      <c r="H9" s="199">
        <f t="shared" si="4"/>
        <v>521.15505491074111</v>
      </c>
      <c r="I9" s="196">
        <f t="shared" si="0"/>
        <v>2.52931549003006E-2</v>
      </c>
      <c r="J9" s="189">
        <v>3.8598E-2</v>
      </c>
      <c r="K9" s="196">
        <f t="shared" si="5"/>
        <v>-1.3304845099699401E-2</v>
      </c>
    </row>
    <row r="10" spans="2:13" x14ac:dyDescent="0.25">
      <c r="B10" s="126" t="s">
        <v>71</v>
      </c>
      <c r="C10" s="130">
        <f>'Predial y Agua'!G12</f>
        <v>293520012</v>
      </c>
      <c r="D10" s="197">
        <f t="shared" si="1"/>
        <v>42.716783600267185</v>
      </c>
      <c r="E10" s="130">
        <f>'CENSO 2015'!C13</f>
        <v>150250</v>
      </c>
      <c r="F10" s="133">
        <f t="shared" si="2"/>
        <v>6418196.7359401444</v>
      </c>
      <c r="G10" s="198">
        <f t="shared" si="3"/>
        <v>28.462443415789711</v>
      </c>
      <c r="H10" s="199">
        <f t="shared" si="4"/>
        <v>586456.94140249223</v>
      </c>
      <c r="I10" s="196">
        <f t="shared" si="0"/>
        <v>28.462443415789711</v>
      </c>
      <c r="J10" s="189">
        <v>27.722322999999999</v>
      </c>
      <c r="K10" s="196">
        <f t="shared" si="5"/>
        <v>0.74012041578971122</v>
      </c>
    </row>
    <row r="11" spans="2:13" x14ac:dyDescent="0.25">
      <c r="B11" s="126" t="s">
        <v>72</v>
      </c>
      <c r="C11" s="130">
        <f>'Predial y Agua'!G13</f>
        <v>26126480</v>
      </c>
      <c r="D11" s="197">
        <f t="shared" si="1"/>
        <v>3.8022592898936938</v>
      </c>
      <c r="E11" s="130">
        <f>'CENSO 2015'!C14</f>
        <v>75520</v>
      </c>
      <c r="F11" s="133">
        <f t="shared" si="2"/>
        <v>287146.62157277175</v>
      </c>
      <c r="G11" s="198">
        <f t="shared" si="3"/>
        <v>1.2733941954107182</v>
      </c>
      <c r="H11" s="199">
        <f t="shared" si="4"/>
        <v>26237.763713074986</v>
      </c>
      <c r="I11" s="196">
        <f t="shared" si="0"/>
        <v>1.2733941954107182</v>
      </c>
      <c r="J11" s="189">
        <v>1.5035639999999999</v>
      </c>
      <c r="K11" s="196">
        <f t="shared" si="5"/>
        <v>-0.23016980458928171</v>
      </c>
    </row>
    <row r="12" spans="2:13" x14ac:dyDescent="0.25">
      <c r="B12" s="126" t="s">
        <v>73</v>
      </c>
      <c r="C12" s="130">
        <f>'Predial y Agua'!G14</f>
        <v>115798</v>
      </c>
      <c r="D12" s="197">
        <f t="shared" si="1"/>
        <v>1.6852404964278003E-2</v>
      </c>
      <c r="E12" s="130">
        <f>'CENSO 2015'!C15</f>
        <v>42514</v>
      </c>
      <c r="F12" s="133">
        <f t="shared" si="2"/>
        <v>716.46314465131502</v>
      </c>
      <c r="G12" s="198">
        <f t="shared" si="3"/>
        <v>3.1772618623460958E-3</v>
      </c>
      <c r="H12" s="199">
        <f t="shared" si="4"/>
        <v>65.466174024700408</v>
      </c>
      <c r="I12" s="196">
        <f t="shared" si="0"/>
        <v>3.1772618623460958E-3</v>
      </c>
      <c r="J12" s="189">
        <v>1.0524E-2</v>
      </c>
      <c r="K12" s="196">
        <f t="shared" si="5"/>
        <v>-7.3467381376539041E-3</v>
      </c>
    </row>
    <row r="13" spans="2:13" x14ac:dyDescent="0.25">
      <c r="B13" s="126" t="s">
        <v>74</v>
      </c>
      <c r="C13" s="130">
        <f>'Predial y Agua'!G15</f>
        <v>92213</v>
      </c>
      <c r="D13" s="197">
        <f t="shared" si="1"/>
        <v>1.3420014326421592E-2</v>
      </c>
      <c r="E13" s="130">
        <f>'CENSO 2015'!C16</f>
        <v>12614</v>
      </c>
      <c r="F13" s="133">
        <f t="shared" si="2"/>
        <v>169.28006071348196</v>
      </c>
      <c r="G13" s="198">
        <f t="shared" si="3"/>
        <v>7.5069748524515486E-4</v>
      </c>
      <c r="H13" s="199">
        <f t="shared" si="4"/>
        <v>15.467812959135609</v>
      </c>
      <c r="I13" s="196">
        <f t="shared" si="0"/>
        <v>7.5069748524515486E-4</v>
      </c>
      <c r="J13" s="189">
        <v>6.78E-4</v>
      </c>
      <c r="K13" s="196">
        <f t="shared" si="5"/>
        <v>7.2697485245154861E-5</v>
      </c>
    </row>
    <row r="14" spans="2:13" x14ac:dyDescent="0.25">
      <c r="B14" s="126" t="s">
        <v>75</v>
      </c>
      <c r="C14" s="130">
        <f>'Predial y Agua'!G16</f>
        <v>11680521</v>
      </c>
      <c r="D14" s="197">
        <f t="shared" si="1"/>
        <v>1.6998987036542381</v>
      </c>
      <c r="E14" s="130">
        <f>'CENSO 2015'!C17</f>
        <v>29416</v>
      </c>
      <c r="F14" s="133">
        <f t="shared" si="2"/>
        <v>50004.220266693068</v>
      </c>
      <c r="G14" s="198">
        <f t="shared" si="3"/>
        <v>0.22175111615411686</v>
      </c>
      <c r="H14" s="199">
        <f t="shared" si="4"/>
        <v>4569.0905532090592</v>
      </c>
      <c r="I14" s="196">
        <f t="shared" si="0"/>
        <v>0.22175111615411686</v>
      </c>
      <c r="J14" s="189">
        <v>0.364313</v>
      </c>
      <c r="K14" s="196">
        <f t="shared" si="5"/>
        <v>-0.14256188384588314</v>
      </c>
      <c r="M14" s="75"/>
    </row>
    <row r="15" spans="2:13" x14ac:dyDescent="0.25">
      <c r="B15" s="126" t="s">
        <v>76</v>
      </c>
      <c r="C15" s="130">
        <f>'Predial y Agua'!G17</f>
        <v>3420820</v>
      </c>
      <c r="D15" s="197">
        <f t="shared" si="1"/>
        <v>0.49784144760618909</v>
      </c>
      <c r="E15" s="130">
        <f>'CENSO 2015'!C18</f>
        <v>18580</v>
      </c>
      <c r="F15" s="133">
        <f t="shared" si="2"/>
        <v>9249.894096522994</v>
      </c>
      <c r="G15" s="198">
        <f t="shared" si="3"/>
        <v>4.1020024495364474E-2</v>
      </c>
      <c r="H15" s="199">
        <f t="shared" si="4"/>
        <v>845.20073524191127</v>
      </c>
      <c r="I15" s="196">
        <f t="shared" si="0"/>
        <v>4.1020024495364474E-2</v>
      </c>
      <c r="J15" s="189">
        <v>6.7258999999999999E-2</v>
      </c>
      <c r="K15" s="196">
        <f t="shared" si="5"/>
        <v>-2.6238975504635526E-2</v>
      </c>
    </row>
    <row r="16" spans="2:13" x14ac:dyDescent="0.25">
      <c r="B16" s="126" t="s">
        <v>77</v>
      </c>
      <c r="C16" s="130">
        <f>'Predial y Agua'!G18</f>
        <v>2366788</v>
      </c>
      <c r="D16" s="197">
        <f t="shared" si="1"/>
        <v>0.3444452394738563</v>
      </c>
      <c r="E16" s="130">
        <f>'CENSO 2015'!C19</f>
        <v>14315</v>
      </c>
      <c r="F16" s="133">
        <f t="shared" si="2"/>
        <v>4930.7336030682527</v>
      </c>
      <c r="G16" s="198">
        <f t="shared" si="3"/>
        <v>2.186606798601131E-2</v>
      </c>
      <c r="H16" s="199">
        <f t="shared" si="4"/>
        <v>450.54133843130381</v>
      </c>
      <c r="I16" s="196">
        <f t="shared" si="0"/>
        <v>2.186606798601131E-2</v>
      </c>
      <c r="J16" s="189">
        <v>7.6290000000000004E-3</v>
      </c>
      <c r="K16" s="196">
        <f t="shared" si="5"/>
        <v>1.423706798601131E-2</v>
      </c>
    </row>
    <row r="17" spans="2:11" x14ac:dyDescent="0.25">
      <c r="B17" s="126" t="s">
        <v>78</v>
      </c>
      <c r="C17" s="130">
        <f>'Predial y Agua'!G19</f>
        <v>2337928</v>
      </c>
      <c r="D17" s="197">
        <f t="shared" si="1"/>
        <v>0.3402451634166786</v>
      </c>
      <c r="E17" s="130">
        <f>'CENSO 2015'!C20</f>
        <v>33901</v>
      </c>
      <c r="F17" s="133">
        <f t="shared" si="2"/>
        <v>11534.65128498882</v>
      </c>
      <c r="G17" s="198">
        <f t="shared" si="3"/>
        <v>5.11521184262623E-2</v>
      </c>
      <c r="H17" s="199">
        <f t="shared" si="4"/>
        <v>1053.9683638644319</v>
      </c>
      <c r="I17" s="196">
        <f t="shared" si="0"/>
        <v>5.11521184262623E-2</v>
      </c>
      <c r="J17" s="189">
        <v>5.3082999999999998E-2</v>
      </c>
      <c r="K17" s="196">
        <f t="shared" si="5"/>
        <v>-1.9308815737376986E-3</v>
      </c>
    </row>
    <row r="18" spans="2:11" x14ac:dyDescent="0.25">
      <c r="B18" s="126" t="s">
        <v>79</v>
      </c>
      <c r="C18" s="130">
        <f>'Predial y Agua'!G20</f>
        <v>2694457</v>
      </c>
      <c r="D18" s="197">
        <f t="shared" si="1"/>
        <v>0.3921318202631619</v>
      </c>
      <c r="E18" s="130">
        <f>'CENSO 2015'!C21</f>
        <v>24743</v>
      </c>
      <c r="F18" s="133">
        <f t="shared" si="2"/>
        <v>9702.5176287714148</v>
      </c>
      <c r="G18" s="198">
        <f t="shared" si="3"/>
        <v>4.3027250544253805E-2</v>
      </c>
      <c r="H18" s="199">
        <f t="shared" si="4"/>
        <v>886.55880250756343</v>
      </c>
      <c r="I18" s="196">
        <f t="shared" si="0"/>
        <v>4.3027250544253805E-2</v>
      </c>
      <c r="J18" s="189">
        <v>4.0325E-2</v>
      </c>
      <c r="K18" s="196">
        <f t="shared" si="5"/>
        <v>2.702250544253805E-3</v>
      </c>
    </row>
    <row r="19" spans="2:11" x14ac:dyDescent="0.25">
      <c r="B19" s="126" t="s">
        <v>80</v>
      </c>
      <c r="C19" s="130">
        <f>'Predial y Agua'!G21</f>
        <v>6665469</v>
      </c>
      <c r="D19" s="197">
        <f t="shared" si="1"/>
        <v>0.97004423966597986</v>
      </c>
      <c r="E19" s="130">
        <f>'CENSO 2015'!C22</f>
        <v>43979</v>
      </c>
      <c r="F19" s="133">
        <f t="shared" si="2"/>
        <v>42661.575616270129</v>
      </c>
      <c r="G19" s="198">
        <f t="shared" si="3"/>
        <v>0.18918907162926935</v>
      </c>
      <c r="H19" s="199">
        <f t="shared" si="4"/>
        <v>3898.1630169153873</v>
      </c>
      <c r="I19" s="196">
        <f t="shared" si="0"/>
        <v>0.18918907162926935</v>
      </c>
      <c r="J19" s="189">
        <v>0.15141299999999999</v>
      </c>
      <c r="K19" s="196">
        <f t="shared" si="5"/>
        <v>3.7776071629269353E-2</v>
      </c>
    </row>
    <row r="20" spans="2:11" x14ac:dyDescent="0.25">
      <c r="B20" s="126" t="s">
        <v>81</v>
      </c>
      <c r="C20" s="130">
        <f>'Predial y Agua'!G22</f>
        <v>1821386</v>
      </c>
      <c r="D20" s="197">
        <f t="shared" si="1"/>
        <v>0.26507136969780526</v>
      </c>
      <c r="E20" s="130">
        <f>'CENSO 2015'!C23</f>
        <v>7499</v>
      </c>
      <c r="F20" s="133">
        <f t="shared" si="2"/>
        <v>1987.7702013638416</v>
      </c>
      <c r="G20" s="198">
        <f t="shared" si="3"/>
        <v>8.815061178024771E-3</v>
      </c>
      <c r="H20" s="199">
        <f t="shared" si="4"/>
        <v>181.63071037929095</v>
      </c>
      <c r="I20" s="196">
        <f t="shared" si="0"/>
        <v>8.815061178024771E-3</v>
      </c>
      <c r="J20" s="189">
        <v>7.8689999999999993E-3</v>
      </c>
      <c r="K20" s="196">
        <f t="shared" si="5"/>
        <v>9.4606117802477178E-4</v>
      </c>
    </row>
    <row r="21" spans="2:11" x14ac:dyDescent="0.25">
      <c r="B21" s="126" t="s">
        <v>82</v>
      </c>
      <c r="C21" s="130">
        <f>'Predial y Agua'!G23</f>
        <v>4577159</v>
      </c>
      <c r="D21" s="197">
        <f t="shared" si="1"/>
        <v>0.6661266779554893</v>
      </c>
      <c r="E21" s="130">
        <f>'CENSO 2015'!C24</f>
        <v>23477</v>
      </c>
      <c r="F21" s="133">
        <f t="shared" si="2"/>
        <v>15638.656018361022</v>
      </c>
      <c r="G21" s="198">
        <f t="shared" si="3"/>
        <v>6.9351934871220336E-2</v>
      </c>
      <c r="H21" s="199">
        <f t="shared" si="4"/>
        <v>1428.9680970382792</v>
      </c>
      <c r="I21" s="196">
        <f t="shared" si="0"/>
        <v>6.9351934871220336E-2</v>
      </c>
      <c r="J21" s="189">
        <v>8.7175000000000002E-2</v>
      </c>
      <c r="K21" s="196">
        <f t="shared" si="5"/>
        <v>-1.7823065128779667E-2</v>
      </c>
    </row>
    <row r="22" spans="2:11" x14ac:dyDescent="0.25">
      <c r="B22" s="126" t="s">
        <v>83</v>
      </c>
      <c r="C22" s="130">
        <f>'Predial y Agua'!G24</f>
        <v>16215080</v>
      </c>
      <c r="D22" s="197">
        <f t="shared" si="1"/>
        <v>2.3598256851427917</v>
      </c>
      <c r="E22" s="130">
        <f>'CENSO 2015'!C25</f>
        <v>97820</v>
      </c>
      <c r="F22" s="133">
        <f t="shared" si="2"/>
        <v>230838.14852066789</v>
      </c>
      <c r="G22" s="198">
        <f t="shared" si="3"/>
        <v>1.0236859371548632</v>
      </c>
      <c r="H22" s="199">
        <f t="shared" si="4"/>
        <v>21092.627744234302</v>
      </c>
      <c r="I22" s="196">
        <f t="shared" si="0"/>
        <v>1.0236859371548632</v>
      </c>
      <c r="J22" s="189">
        <v>1.2821199999999999</v>
      </c>
      <c r="K22" s="196">
        <f t="shared" si="5"/>
        <v>-0.2584340628451367</v>
      </c>
    </row>
    <row r="23" spans="2:11" x14ac:dyDescent="0.25">
      <c r="B23" s="126" t="s">
        <v>84</v>
      </c>
      <c r="C23" s="130">
        <f>'Predial y Agua'!G25</f>
        <v>4339926</v>
      </c>
      <c r="D23" s="197">
        <f t="shared" si="1"/>
        <v>0.63160149974092106</v>
      </c>
      <c r="E23" s="130">
        <f>'CENSO 2015'!C26</f>
        <v>39718</v>
      </c>
      <c r="F23" s="133">
        <f t="shared" si="2"/>
        <v>25085.948366709901</v>
      </c>
      <c r="G23" s="198">
        <f t="shared" si="3"/>
        <v>0.1112473511322358</v>
      </c>
      <c r="H23" s="199">
        <f t="shared" si="4"/>
        <v>2292.2059196065657</v>
      </c>
      <c r="I23" s="196">
        <f t="shared" si="0"/>
        <v>0.1112473511322358</v>
      </c>
      <c r="J23" s="189">
        <v>0.39474799999999999</v>
      </c>
      <c r="K23" s="196">
        <f t="shared" si="5"/>
        <v>-0.28350064886776416</v>
      </c>
    </row>
    <row r="24" spans="2:11" x14ac:dyDescent="0.25">
      <c r="B24" s="126" t="s">
        <v>85</v>
      </c>
      <c r="C24" s="130">
        <f>'Predial y Agua'!G26</f>
        <v>249740346</v>
      </c>
      <c r="D24" s="197">
        <f t="shared" si="1"/>
        <v>36.345407059801602</v>
      </c>
      <c r="E24" s="130">
        <f>'CENSO 2015'!C27</f>
        <v>413608</v>
      </c>
      <c r="F24" s="133">
        <f t="shared" si="2"/>
        <v>15032751.123190422</v>
      </c>
      <c r="G24" s="198">
        <f t="shared" si="3"/>
        <v>66.664959930490809</v>
      </c>
      <c r="H24" s="199">
        <f t="shared" si="4"/>
        <v>1373604.0834029915</v>
      </c>
      <c r="I24" s="196">
        <f t="shared" si="0"/>
        <v>66.664959930490809</v>
      </c>
      <c r="J24" s="189">
        <v>66.428610000000006</v>
      </c>
      <c r="K24" s="196">
        <f t="shared" si="5"/>
        <v>0.23634993049080322</v>
      </c>
    </row>
    <row r="25" spans="2:11" x14ac:dyDescent="0.25">
      <c r="B25" s="126" t="s">
        <v>86</v>
      </c>
      <c r="C25" s="130">
        <f>'Predial y Agua'!G27</f>
        <v>2607273</v>
      </c>
      <c r="D25" s="197">
        <f t="shared" si="1"/>
        <v>0.37944369029195674</v>
      </c>
      <c r="E25" s="130">
        <f>'CENSO 2015'!C28</f>
        <v>30565</v>
      </c>
      <c r="F25" s="133">
        <f t="shared" si="2"/>
        <v>11597.696393773658</v>
      </c>
      <c r="G25" s="198">
        <f t="shared" si="3"/>
        <v>5.1431701292799017E-2</v>
      </c>
      <c r="H25" s="199">
        <f t="shared" si="4"/>
        <v>1059.7290538509669</v>
      </c>
      <c r="I25" s="196">
        <f t="shared" si="0"/>
        <v>5.1431701292799017E-2</v>
      </c>
      <c r="J25" s="189">
        <v>4.3832000000000003E-2</v>
      </c>
      <c r="K25" s="196">
        <f t="shared" si="5"/>
        <v>7.5997012927990146E-3</v>
      </c>
    </row>
    <row r="26" spans="2:11" ht="15.75" thickBot="1" x14ac:dyDescent="0.3">
      <c r="B26" s="126" t="s">
        <v>87</v>
      </c>
      <c r="C26" s="130">
        <f>'Predial y Agua'!G28</f>
        <v>37799533</v>
      </c>
      <c r="D26" s="200">
        <f t="shared" si="1"/>
        <v>5.5010711547400666</v>
      </c>
      <c r="E26" s="142">
        <f>'CENSO 2015'!C29</f>
        <v>57418</v>
      </c>
      <c r="F26" s="133">
        <f t="shared" si="2"/>
        <v>315860.50356286514</v>
      </c>
      <c r="G26" s="198">
        <f t="shared" si="3"/>
        <v>1.4007301551849369</v>
      </c>
      <c r="H26" s="199">
        <f t="shared" si="4"/>
        <v>28861.468797309306</v>
      </c>
      <c r="I26" s="196">
        <f t="shared" si="0"/>
        <v>1.4007301551849369</v>
      </c>
      <c r="J26" s="189">
        <v>1.431076</v>
      </c>
      <c r="K26" s="196">
        <f t="shared" si="5"/>
        <v>-3.0345844815063083E-2</v>
      </c>
    </row>
    <row r="27" spans="2:11" ht="15.75" thickBot="1" x14ac:dyDescent="0.3">
      <c r="B27" s="201" t="s">
        <v>88</v>
      </c>
      <c r="C27" s="146">
        <f t="shared" ref="C27:F27" si="6">SUM(C7:C26)</f>
        <v>687130414</v>
      </c>
      <c r="D27" s="203">
        <f t="shared" si="6"/>
        <v>99.999999999999986</v>
      </c>
      <c r="E27" s="202">
        <f t="shared" si="6"/>
        <v>1181050</v>
      </c>
      <c r="F27" s="204">
        <f t="shared" si="6"/>
        <v>22549703.980718713</v>
      </c>
      <c r="G27" s="205">
        <f t="shared" si="3"/>
        <v>100</v>
      </c>
      <c r="H27" s="206">
        <f>Datos!L34</f>
        <v>2060458.875</v>
      </c>
      <c r="I27" s="207">
        <f t="shared" ref="I27:K27" si="7">SUM(I7:I26)</f>
        <v>100</v>
      </c>
      <c r="J27" s="206">
        <f t="shared" si="7"/>
        <v>99.999999000000003</v>
      </c>
      <c r="K27" s="206">
        <f t="shared" si="7"/>
        <v>1.0000000024643074E-6</v>
      </c>
    </row>
    <row r="28" spans="2:11" x14ac:dyDescent="0.25">
      <c r="B28" s="96" t="s">
        <v>89</v>
      </c>
      <c r="C28" s="44"/>
      <c r="D28" s="44"/>
      <c r="E28" s="163"/>
      <c r="F28" s="163"/>
    </row>
    <row r="29" spans="2:11" x14ac:dyDescent="0.25">
      <c r="B29" s="103" t="s">
        <v>240</v>
      </c>
      <c r="C29" s="44"/>
      <c r="D29" s="44"/>
      <c r="E29" s="163"/>
      <c r="F29" s="163"/>
    </row>
    <row r="34" spans="4:8" x14ac:dyDescent="0.25">
      <c r="D34" s="384"/>
      <c r="E34" s="384"/>
      <c r="F34" s="384"/>
      <c r="G34" s="384"/>
      <c r="H34" s="384"/>
    </row>
  </sheetData>
  <mergeCells count="6">
    <mergeCell ref="D34:H34"/>
    <mergeCell ref="B2:H2"/>
    <mergeCell ref="B3:B6"/>
    <mergeCell ref="C3:C4"/>
    <mergeCell ref="D3:D4"/>
    <mergeCell ref="H3:H5"/>
  </mergeCells>
  <printOptions horizontalCentered="1"/>
  <pageMargins left="0.39370078740157483"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FFFF00"/>
    <pageSetUpPr fitToPage="1"/>
  </sheetPr>
  <dimension ref="B2:AC86"/>
  <sheetViews>
    <sheetView zoomScale="78" zoomScaleNormal="78" workbookViewId="0">
      <selection activeCell="L34" sqref="L34"/>
    </sheetView>
  </sheetViews>
  <sheetFormatPr baseColWidth="10" defaultRowHeight="15" x14ac:dyDescent="0.25"/>
  <cols>
    <col min="1" max="1" width="9.44140625" style="46" customWidth="1"/>
    <col min="2" max="2" width="5.5546875" style="208" customWidth="1"/>
    <col min="3" max="3" width="21.6640625" style="46" customWidth="1"/>
    <col min="4" max="4" width="12.77734375" style="46" customWidth="1"/>
    <col min="5" max="7" width="13.21875" style="46" customWidth="1"/>
    <col min="8" max="8" width="13.21875" style="46" bestFit="1" customWidth="1"/>
    <col min="9" max="9" width="16.21875" style="45" customWidth="1"/>
    <col min="10" max="10" width="10.44140625" style="45" customWidth="1"/>
    <col min="11" max="11" width="15.33203125" style="46" customWidth="1"/>
    <col min="12" max="12" width="16" style="75" bestFit="1" customWidth="1"/>
    <col min="13" max="16" width="13.21875" style="75" customWidth="1"/>
    <col min="17" max="22" width="13.21875" style="75" bestFit="1" customWidth="1"/>
    <col min="23" max="23" width="20.5546875" style="75" hidden="1" customWidth="1"/>
    <col min="24" max="26" width="13.21875" style="75" hidden="1" customWidth="1"/>
    <col min="27" max="27" width="10.33203125" style="249" hidden="1" customWidth="1"/>
    <col min="28" max="28" width="12.5546875" style="75" hidden="1" customWidth="1"/>
    <col min="29" max="29" width="14.33203125" style="75" bestFit="1" customWidth="1"/>
    <col min="30" max="30" width="14.33203125" style="46" customWidth="1"/>
    <col min="31" max="31" width="11.6640625" style="46" bestFit="1" customWidth="1"/>
    <col min="32" max="16384" width="11.5546875" style="46"/>
  </cols>
  <sheetData>
    <row r="2" spans="2:16" x14ac:dyDescent="0.25">
      <c r="C2" s="44"/>
      <c r="D2" s="44"/>
      <c r="E2" s="44"/>
      <c r="F2" s="44"/>
      <c r="G2" s="44"/>
      <c r="H2" s="44"/>
      <c r="K2" s="47"/>
    </row>
    <row r="3" spans="2:16" x14ac:dyDescent="0.25">
      <c r="C3" s="44"/>
      <c r="D3" s="44"/>
      <c r="E3" s="44"/>
      <c r="F3" s="44"/>
      <c r="G3" s="44"/>
      <c r="H3" s="44"/>
      <c r="I3" s="163"/>
      <c r="J3" s="163"/>
    </row>
    <row r="4" spans="2:16" ht="15.75" thickBot="1" x14ac:dyDescent="0.3">
      <c r="C4" s="385" t="s">
        <v>135</v>
      </c>
      <c r="D4" s="385"/>
      <c r="E4" s="385"/>
      <c r="F4" s="385"/>
      <c r="G4" s="385"/>
      <c r="H4" s="385"/>
      <c r="I4" s="385"/>
      <c r="J4" s="385"/>
      <c r="K4" s="385"/>
    </row>
    <row r="5" spans="2:16" x14ac:dyDescent="0.25">
      <c r="B5" s="430" t="s">
        <v>136</v>
      </c>
      <c r="C5" s="431"/>
      <c r="D5" s="431"/>
      <c r="E5" s="431"/>
      <c r="F5" s="431"/>
      <c r="G5" s="431"/>
      <c r="H5" s="431"/>
      <c r="I5" s="431"/>
      <c r="J5" s="431"/>
      <c r="K5" s="431"/>
      <c r="L5" s="405" t="s">
        <v>231</v>
      </c>
    </row>
    <row r="6" spans="2:16" ht="15.75" thickBot="1" x14ac:dyDescent="0.3">
      <c r="B6" s="432" t="s">
        <v>137</v>
      </c>
      <c r="C6" s="433"/>
      <c r="D6" s="433"/>
      <c r="E6" s="433"/>
      <c r="F6" s="433"/>
      <c r="G6" s="433"/>
      <c r="H6" s="434"/>
      <c r="I6" s="209"/>
      <c r="J6" s="210"/>
      <c r="K6" s="211" t="s">
        <v>138</v>
      </c>
      <c r="L6" s="405"/>
    </row>
    <row r="7" spans="2:16" ht="15.75" thickBot="1" x14ac:dyDescent="0.3">
      <c r="B7" s="212"/>
      <c r="C7" s="164"/>
      <c r="D7" s="213"/>
      <c r="E7" s="213"/>
      <c r="F7" s="214"/>
      <c r="G7" s="215"/>
      <c r="H7" s="216"/>
      <c r="I7" s="217"/>
      <c r="J7" s="218"/>
      <c r="K7" s="219"/>
      <c r="M7" s="220">
        <v>79519983.979999989</v>
      </c>
      <c r="N7" s="221"/>
    </row>
    <row r="8" spans="2:16" ht="15.75" thickBot="1" x14ac:dyDescent="0.3">
      <c r="B8" s="398" t="s">
        <v>139</v>
      </c>
      <c r="C8" s="399"/>
      <c r="D8" s="399"/>
      <c r="E8" s="399"/>
      <c r="F8" s="399"/>
      <c r="G8" s="399"/>
      <c r="H8" s="399"/>
      <c r="I8" s="399"/>
      <c r="J8" s="399"/>
      <c r="K8" s="399"/>
      <c r="M8" s="222">
        <v>0.22500000000000001</v>
      </c>
      <c r="N8" s="223"/>
    </row>
    <row r="9" spans="2:16" x14ac:dyDescent="0.25">
      <c r="B9" s="224">
        <v>1</v>
      </c>
      <c r="C9" s="425" t="s">
        <v>140</v>
      </c>
      <c r="D9" s="392"/>
      <c r="E9" s="392"/>
      <c r="F9" s="392"/>
      <c r="G9" s="392"/>
      <c r="H9" s="426"/>
      <c r="I9" s="225"/>
      <c r="J9" s="226"/>
      <c r="K9" s="220">
        <v>437696804</v>
      </c>
      <c r="L9" s="221">
        <v>60205325</v>
      </c>
      <c r="M9" s="227">
        <f>M7/M8</f>
        <v>353422151.02222216</v>
      </c>
      <c r="N9" s="138"/>
      <c r="O9" s="228"/>
      <c r="P9" s="228"/>
    </row>
    <row r="10" spans="2:16" x14ac:dyDescent="0.25">
      <c r="B10" s="224">
        <v>2</v>
      </c>
      <c r="C10" s="425" t="s">
        <v>141</v>
      </c>
      <c r="D10" s="392"/>
      <c r="E10" s="392"/>
      <c r="F10" s="392"/>
      <c r="G10" s="392"/>
      <c r="H10" s="426"/>
      <c r="I10" s="429">
        <v>353422151</v>
      </c>
      <c r="J10" s="415"/>
      <c r="K10" s="415"/>
      <c r="L10" s="229">
        <f>L9*22.5%</f>
        <v>13546198.125</v>
      </c>
      <c r="M10" s="227">
        <f>M9/100</f>
        <v>3534221.5102222217</v>
      </c>
      <c r="N10" s="138"/>
    </row>
    <row r="11" spans="2:16" x14ac:dyDescent="0.25">
      <c r="B11" s="224">
        <v>3</v>
      </c>
      <c r="C11" s="230" t="s">
        <v>142</v>
      </c>
      <c r="D11" s="228"/>
      <c r="E11" s="228"/>
      <c r="F11" s="228"/>
      <c r="G11" s="228"/>
      <c r="H11" s="231"/>
      <c r="I11" s="232"/>
      <c r="J11" s="233"/>
      <c r="K11" s="221">
        <f>K9-I10</f>
        <v>84274653</v>
      </c>
      <c r="L11" s="234"/>
    </row>
    <row r="12" spans="2:16" x14ac:dyDescent="0.25">
      <c r="B12" s="224">
        <v>4</v>
      </c>
      <c r="C12" s="425" t="s">
        <v>143</v>
      </c>
      <c r="D12" s="392"/>
      <c r="E12" s="392"/>
      <c r="F12" s="392"/>
      <c r="G12" s="392"/>
      <c r="H12" s="426"/>
      <c r="I12" s="427">
        <f>K11*22.5%</f>
        <v>18961796.925000001</v>
      </c>
      <c r="J12" s="407"/>
      <c r="K12" s="407"/>
      <c r="L12" s="234"/>
      <c r="N12" s="138">
        <f>K9-I10</f>
        <v>84274653</v>
      </c>
    </row>
    <row r="13" spans="2:16" x14ac:dyDescent="0.25">
      <c r="B13" s="224">
        <v>5</v>
      </c>
      <c r="C13" s="425" t="s">
        <v>144</v>
      </c>
      <c r="D13" s="392"/>
      <c r="E13" s="392"/>
      <c r="F13" s="392"/>
      <c r="G13" s="392"/>
      <c r="H13" s="426"/>
      <c r="I13" s="427">
        <f>I10*22.5%</f>
        <v>79519983.975000009</v>
      </c>
      <c r="J13" s="407"/>
      <c r="K13" s="407"/>
      <c r="L13" s="234"/>
    </row>
    <row r="14" spans="2:16" ht="15.75" thickBot="1" x14ac:dyDescent="0.3">
      <c r="B14" s="224">
        <v>6</v>
      </c>
      <c r="C14" s="425" t="s">
        <v>145</v>
      </c>
      <c r="D14" s="392"/>
      <c r="E14" s="392"/>
      <c r="F14" s="392"/>
      <c r="G14" s="392"/>
      <c r="H14" s="426"/>
      <c r="I14" s="428"/>
      <c r="J14" s="408"/>
      <c r="K14" s="408"/>
      <c r="L14" s="234"/>
    </row>
    <row r="15" spans="2:16" x14ac:dyDescent="0.25">
      <c r="B15" s="235"/>
      <c r="C15" s="393" t="s">
        <v>146</v>
      </c>
      <c r="D15" s="394"/>
      <c r="E15" s="394"/>
      <c r="F15" s="394"/>
      <c r="G15" s="394"/>
      <c r="H15" s="394"/>
      <c r="I15" s="417">
        <f>I12*60%</f>
        <v>11377078.154999999</v>
      </c>
      <c r="J15" s="417"/>
      <c r="K15" s="418"/>
      <c r="L15" s="229">
        <f>L10*60%</f>
        <v>8127718.875</v>
      </c>
    </row>
    <row r="16" spans="2:16" x14ac:dyDescent="0.25">
      <c r="B16" s="235"/>
      <c r="C16" s="390" t="s">
        <v>147</v>
      </c>
      <c r="D16" s="391"/>
      <c r="E16" s="391"/>
      <c r="F16" s="391"/>
      <c r="G16" s="391"/>
      <c r="H16" s="391"/>
      <c r="I16" s="419">
        <f>I12*30%</f>
        <v>5688539.0774999997</v>
      </c>
      <c r="J16" s="419"/>
      <c r="K16" s="420"/>
      <c r="L16" s="229">
        <f>L10*30%</f>
        <v>4063859.4375</v>
      </c>
    </row>
    <row r="17" spans="2:17" x14ac:dyDescent="0.25">
      <c r="B17" s="235"/>
      <c r="C17" s="390" t="s">
        <v>148</v>
      </c>
      <c r="D17" s="391"/>
      <c r="E17" s="391"/>
      <c r="F17" s="391"/>
      <c r="G17" s="391"/>
      <c r="H17" s="391"/>
      <c r="I17" s="419">
        <f>I12*10%</f>
        <v>1896179.6925000001</v>
      </c>
      <c r="J17" s="419"/>
      <c r="K17" s="420"/>
      <c r="L17" s="229">
        <f>L10*10%</f>
        <v>1354619.8125</v>
      </c>
    </row>
    <row r="18" spans="2:17" x14ac:dyDescent="0.25">
      <c r="B18" s="235"/>
      <c r="C18" s="390" t="s">
        <v>149</v>
      </c>
      <c r="D18" s="391"/>
      <c r="E18" s="391"/>
      <c r="F18" s="391"/>
      <c r="G18" s="391"/>
      <c r="H18" s="391"/>
      <c r="I18" s="236">
        <f>SUM(I15:I17)</f>
        <v>18961796.924999997</v>
      </c>
      <c r="J18" s="236"/>
      <c r="K18" s="237">
        <f>SUM(I18)</f>
        <v>18961796.924999997</v>
      </c>
      <c r="L18" s="229">
        <f>SUM(L15:L17)</f>
        <v>13546198.125</v>
      </c>
    </row>
    <row r="19" spans="2:17" ht="15.75" thickBot="1" x14ac:dyDescent="0.3">
      <c r="B19" s="238">
        <v>6</v>
      </c>
      <c r="C19" s="421" t="s">
        <v>150</v>
      </c>
      <c r="D19" s="413"/>
      <c r="E19" s="413"/>
      <c r="F19" s="413"/>
      <c r="G19" s="413"/>
      <c r="H19" s="413"/>
      <c r="I19" s="422">
        <f>I12+I13</f>
        <v>98481780.900000006</v>
      </c>
      <c r="J19" s="422"/>
      <c r="K19" s="423"/>
      <c r="L19" s="229"/>
    </row>
    <row r="20" spans="2:17" ht="11.25" customHeight="1" thickBot="1" x14ac:dyDescent="0.3">
      <c r="B20" s="239"/>
      <c r="C20" s="392"/>
      <c r="D20" s="392"/>
      <c r="E20" s="392"/>
      <c r="F20" s="392"/>
      <c r="G20" s="392"/>
      <c r="H20" s="392"/>
      <c r="I20" s="424"/>
      <c r="J20" s="408"/>
      <c r="K20" s="408"/>
      <c r="L20" s="229"/>
    </row>
    <row r="21" spans="2:17" ht="15.75" thickBot="1" x14ac:dyDescent="0.3">
      <c r="B21" s="398" t="s">
        <v>151</v>
      </c>
      <c r="C21" s="399"/>
      <c r="D21" s="399"/>
      <c r="E21" s="399"/>
      <c r="F21" s="399"/>
      <c r="G21" s="399"/>
      <c r="H21" s="399"/>
      <c r="I21" s="399"/>
      <c r="J21" s="399"/>
      <c r="K21" s="399"/>
      <c r="L21" s="229"/>
    </row>
    <row r="22" spans="2:17" x14ac:dyDescent="0.25">
      <c r="B22" s="240">
        <v>7</v>
      </c>
      <c r="C22" s="392" t="s">
        <v>152</v>
      </c>
      <c r="D22" s="392"/>
      <c r="E22" s="392"/>
      <c r="F22" s="392"/>
      <c r="G22" s="392"/>
      <c r="H22" s="392"/>
      <c r="I22" s="241"/>
      <c r="J22" s="233"/>
      <c r="K22" s="220">
        <v>39036286</v>
      </c>
      <c r="L22" s="229">
        <v>205276</v>
      </c>
    </row>
    <row r="23" spans="2:17" x14ac:dyDescent="0.25">
      <c r="B23" s="240">
        <v>8</v>
      </c>
      <c r="C23" s="392" t="s">
        <v>153</v>
      </c>
      <c r="D23" s="392"/>
      <c r="E23" s="392"/>
      <c r="F23" s="392"/>
      <c r="G23" s="392"/>
      <c r="H23" s="392"/>
      <c r="I23" s="241"/>
      <c r="J23" s="233"/>
      <c r="K23" s="220">
        <v>35431649</v>
      </c>
      <c r="L23" s="234"/>
    </row>
    <row r="24" spans="2:17" x14ac:dyDescent="0.25">
      <c r="B24" s="240">
        <v>9</v>
      </c>
      <c r="C24" s="228" t="s">
        <v>154</v>
      </c>
      <c r="D24" s="228"/>
      <c r="E24" s="228"/>
      <c r="F24" s="228"/>
      <c r="G24" s="228"/>
      <c r="H24" s="228"/>
      <c r="I24" s="241"/>
      <c r="J24" s="233"/>
      <c r="K24" s="221">
        <f>K22-K23</f>
        <v>3604637</v>
      </c>
      <c r="L24" s="234"/>
    </row>
    <row r="25" spans="2:17" x14ac:dyDescent="0.25">
      <c r="B25" s="240">
        <v>10</v>
      </c>
      <c r="C25" s="392" t="s">
        <v>155</v>
      </c>
      <c r="D25" s="392"/>
      <c r="E25" s="392"/>
      <c r="F25" s="392"/>
      <c r="G25" s="392"/>
      <c r="H25" s="392"/>
      <c r="I25" s="241"/>
      <c r="J25" s="233"/>
      <c r="K25" s="221">
        <f>K24</f>
        <v>3604637</v>
      </c>
      <c r="L25" s="234"/>
    </row>
    <row r="26" spans="2:17" x14ac:dyDescent="0.25">
      <c r="B26" s="235"/>
      <c r="C26" s="391" t="s">
        <v>156</v>
      </c>
      <c r="D26" s="391"/>
      <c r="E26" s="391"/>
      <c r="F26" s="391"/>
      <c r="G26" s="391"/>
      <c r="H26" s="391"/>
      <c r="I26" s="242"/>
      <c r="J26" s="242"/>
      <c r="K26" s="236">
        <f>K25-K29</f>
        <v>2408492</v>
      </c>
      <c r="L26" s="229"/>
    </row>
    <row r="27" spans="2:17" x14ac:dyDescent="0.25">
      <c r="B27" s="235"/>
      <c r="C27" s="409">
        <v>0.5</v>
      </c>
      <c r="D27" s="391"/>
      <c r="E27" s="391"/>
      <c r="F27" s="391"/>
      <c r="G27" s="391"/>
      <c r="H27" s="391"/>
      <c r="I27" s="242"/>
      <c r="J27" s="242"/>
      <c r="K27" s="236">
        <f>K26*0.5</f>
        <v>1204246</v>
      </c>
      <c r="L27" s="229">
        <f>L22*C27</f>
        <v>102638</v>
      </c>
    </row>
    <row r="28" spans="2:17" x14ac:dyDescent="0.25">
      <c r="B28" s="235"/>
      <c r="C28" s="409">
        <v>0.5</v>
      </c>
      <c r="D28" s="391"/>
      <c r="E28" s="391"/>
      <c r="F28" s="391"/>
      <c r="G28" s="391"/>
      <c r="H28" s="391"/>
      <c r="I28" s="242"/>
      <c r="J28" s="242"/>
      <c r="K28" s="236">
        <f>K26*0.5</f>
        <v>1204246</v>
      </c>
      <c r="L28" s="229">
        <f>L22*C28</f>
        <v>102638</v>
      </c>
    </row>
    <row r="29" spans="2:17" x14ac:dyDescent="0.25">
      <c r="B29" s="235"/>
      <c r="C29" s="391" t="s">
        <v>157</v>
      </c>
      <c r="D29" s="391"/>
      <c r="E29" s="391"/>
      <c r="F29" s="391"/>
      <c r="G29" s="391"/>
      <c r="H29" s="391"/>
      <c r="I29" s="242"/>
      <c r="J29" s="242"/>
      <c r="K29" s="236">
        <v>1196145</v>
      </c>
      <c r="L29" s="229"/>
    </row>
    <row r="30" spans="2:17" ht="15.75" thickBot="1" x14ac:dyDescent="0.3">
      <c r="B30" s="238">
        <v>8</v>
      </c>
      <c r="C30" s="413" t="s">
        <v>158</v>
      </c>
      <c r="D30" s="413"/>
      <c r="E30" s="413"/>
      <c r="F30" s="413"/>
      <c r="G30" s="413"/>
      <c r="H30" s="413"/>
      <c r="I30" s="243"/>
      <c r="J30" s="243"/>
      <c r="K30" s="244">
        <f>K23+K24</f>
        <v>39036286</v>
      </c>
      <c r="L30" s="229">
        <f>SUM(L27:L29)</f>
        <v>205276</v>
      </c>
      <c r="O30" s="75">
        <v>437696804</v>
      </c>
    </row>
    <row r="31" spans="2:17" ht="15.75" thickBot="1" x14ac:dyDescent="0.3">
      <c r="B31" s="239"/>
      <c r="C31" s="245"/>
      <c r="D31" s="106"/>
      <c r="E31" s="106"/>
      <c r="F31" s="106"/>
      <c r="G31" s="106"/>
      <c r="H31" s="246"/>
      <c r="I31" s="241"/>
      <c r="J31" s="233"/>
      <c r="K31" s="233"/>
      <c r="L31" s="234"/>
    </row>
    <row r="32" spans="2:17" ht="15.75" thickBot="1" x14ac:dyDescent="0.3">
      <c r="B32" s="398" t="s">
        <v>159</v>
      </c>
      <c r="C32" s="399"/>
      <c r="D32" s="399"/>
      <c r="E32" s="399"/>
      <c r="F32" s="399"/>
      <c r="G32" s="399"/>
      <c r="H32" s="399"/>
      <c r="I32" s="399"/>
      <c r="J32" s="399"/>
      <c r="K32" s="399"/>
      <c r="L32" s="412"/>
      <c r="M32" s="412"/>
      <c r="Q32" s="75">
        <v>79519983.979999989</v>
      </c>
    </row>
    <row r="33" spans="2:17" x14ac:dyDescent="0.25">
      <c r="B33" s="239">
        <v>9</v>
      </c>
      <c r="C33" s="392" t="s">
        <v>160</v>
      </c>
      <c r="D33" s="392"/>
      <c r="E33" s="392"/>
      <c r="F33" s="392"/>
      <c r="G33" s="392"/>
      <c r="H33" s="392"/>
      <c r="I33" s="247">
        <f>K33*22.5%</f>
        <v>138635.32500000001</v>
      </c>
      <c r="J33" s="233"/>
      <c r="K33" s="220">
        <v>616157</v>
      </c>
      <c r="L33" s="229">
        <v>9157595</v>
      </c>
      <c r="M33" s="138"/>
      <c r="Q33" s="75">
        <v>0.22500000000000001</v>
      </c>
    </row>
    <row r="34" spans="2:17" x14ac:dyDescent="0.25">
      <c r="B34" s="239">
        <v>10</v>
      </c>
      <c r="C34" s="392" t="s">
        <v>161</v>
      </c>
      <c r="D34" s="392"/>
      <c r="E34" s="392"/>
      <c r="F34" s="392"/>
      <c r="G34" s="392"/>
      <c r="H34" s="392"/>
      <c r="I34" s="247">
        <f t="shared" ref="I34:I35" si="0">K34*22.5%</f>
        <v>4226222.4750000006</v>
      </c>
      <c r="J34" s="233"/>
      <c r="K34" s="221">
        <v>18783211</v>
      </c>
      <c r="L34" s="138">
        <f>L33*22.5%</f>
        <v>2060458.875</v>
      </c>
      <c r="Q34" s="75">
        <v>353422151.02222216</v>
      </c>
    </row>
    <row r="35" spans="2:17" x14ac:dyDescent="0.25">
      <c r="B35" s="239">
        <v>11</v>
      </c>
      <c r="C35" s="228" t="s">
        <v>162</v>
      </c>
      <c r="D35" s="228"/>
      <c r="E35" s="228"/>
      <c r="F35" s="228"/>
      <c r="G35" s="228"/>
      <c r="H35" s="228"/>
      <c r="I35" s="247">
        <f t="shared" si="0"/>
        <v>-4087587.15</v>
      </c>
      <c r="J35" s="233"/>
      <c r="K35" s="248">
        <f>K33-K34</f>
        <v>-18167054</v>
      </c>
      <c r="Q35" s="75">
        <v>3534221.5102222217</v>
      </c>
    </row>
    <row r="36" spans="2:17" ht="15.75" thickBot="1" x14ac:dyDescent="0.3">
      <c r="B36" s="239"/>
      <c r="C36" s="245"/>
      <c r="D36" s="106"/>
      <c r="E36" s="106"/>
      <c r="F36" s="106"/>
      <c r="G36" s="106"/>
      <c r="H36" s="246"/>
      <c r="I36" s="241"/>
      <c r="J36" s="233"/>
      <c r="K36" s="233"/>
    </row>
    <row r="37" spans="2:17" ht="15.75" thickBot="1" x14ac:dyDescent="0.3">
      <c r="B37" s="398" t="s">
        <v>163</v>
      </c>
      <c r="C37" s="399"/>
      <c r="D37" s="399"/>
      <c r="E37" s="399"/>
      <c r="F37" s="399"/>
      <c r="G37" s="399"/>
      <c r="H37" s="399"/>
      <c r="I37" s="399"/>
      <c r="J37" s="399"/>
      <c r="K37" s="399"/>
    </row>
    <row r="38" spans="2:17" x14ac:dyDescent="0.25">
      <c r="B38" s="239">
        <v>12</v>
      </c>
      <c r="C38" s="392" t="s">
        <v>164</v>
      </c>
      <c r="D38" s="392"/>
      <c r="E38" s="392"/>
      <c r="F38" s="392"/>
      <c r="G38" s="392"/>
      <c r="H38" s="392"/>
      <c r="I38" s="414">
        <v>0</v>
      </c>
      <c r="J38" s="415"/>
      <c r="K38" s="416"/>
    </row>
    <row r="39" spans="2:17" x14ac:dyDescent="0.25">
      <c r="B39" s="239">
        <v>13</v>
      </c>
      <c r="C39" s="392" t="s">
        <v>165</v>
      </c>
      <c r="D39" s="392"/>
      <c r="E39" s="392"/>
      <c r="F39" s="392"/>
      <c r="G39" s="392"/>
      <c r="H39" s="392"/>
      <c r="I39" s="241"/>
      <c r="J39" s="233"/>
      <c r="K39" s="221">
        <v>0</v>
      </c>
      <c r="L39" s="138"/>
      <c r="M39" s="138"/>
    </row>
    <row r="40" spans="2:17" x14ac:dyDescent="0.25">
      <c r="B40" s="239">
        <v>14</v>
      </c>
      <c r="C40" s="228" t="s">
        <v>166</v>
      </c>
      <c r="D40" s="228"/>
      <c r="E40" s="228"/>
      <c r="F40" s="228"/>
      <c r="G40" s="228"/>
      <c r="H40" s="228"/>
      <c r="I40" s="241"/>
      <c r="J40" s="233"/>
      <c r="K40" s="248">
        <f>I38-K39</f>
        <v>0</v>
      </c>
      <c r="L40" s="138"/>
      <c r="M40" s="138"/>
    </row>
    <row r="41" spans="2:17" x14ac:dyDescent="0.25">
      <c r="B41" s="239"/>
      <c r="C41" s="228"/>
      <c r="D41" s="228"/>
      <c r="E41" s="228"/>
      <c r="F41" s="228"/>
      <c r="G41" s="228"/>
      <c r="H41" s="228"/>
      <c r="I41" s="241"/>
      <c r="J41" s="233"/>
      <c r="K41" s="233"/>
      <c r="L41" s="138"/>
      <c r="M41" s="138"/>
    </row>
    <row r="42" spans="2:17" x14ac:dyDescent="0.25">
      <c r="B42" s="410" t="s">
        <v>167</v>
      </c>
      <c r="C42" s="411"/>
      <c r="D42" s="411"/>
      <c r="E42" s="411"/>
      <c r="F42" s="411"/>
      <c r="G42" s="411"/>
      <c r="H42" s="411"/>
      <c r="I42" s="411"/>
      <c r="J42" s="411"/>
      <c r="K42" s="411"/>
      <c r="M42" s="138"/>
    </row>
    <row r="43" spans="2:17" x14ac:dyDescent="0.25">
      <c r="B43" s="239">
        <v>15</v>
      </c>
      <c r="C43" s="392" t="s">
        <v>168</v>
      </c>
      <c r="D43" s="392"/>
      <c r="E43" s="392"/>
      <c r="F43" s="392"/>
      <c r="G43" s="392"/>
      <c r="H43" s="392"/>
      <c r="I43" s="406">
        <v>8000158</v>
      </c>
      <c r="J43" s="407"/>
      <c r="K43" s="408"/>
    </row>
    <row r="44" spans="2:17" x14ac:dyDescent="0.25">
      <c r="B44" s="239">
        <v>16</v>
      </c>
      <c r="C44" s="392" t="s">
        <v>169</v>
      </c>
      <c r="D44" s="392"/>
      <c r="E44" s="392"/>
      <c r="F44" s="392"/>
      <c r="G44" s="392"/>
      <c r="H44" s="392"/>
      <c r="I44" s="241"/>
      <c r="J44" s="233"/>
      <c r="K44" s="221">
        <v>0</v>
      </c>
    </row>
    <row r="45" spans="2:17" x14ac:dyDescent="0.25">
      <c r="B45" s="239">
        <v>17</v>
      </c>
      <c r="C45" s="228" t="s">
        <v>170</v>
      </c>
      <c r="D45" s="228"/>
      <c r="E45" s="228"/>
      <c r="F45" s="228"/>
      <c r="G45" s="228"/>
      <c r="H45" s="228"/>
      <c r="I45" s="241"/>
      <c r="J45" s="233"/>
      <c r="K45" s="248">
        <f>I43-K44</f>
        <v>8000158</v>
      </c>
    </row>
    <row r="46" spans="2:17" ht="15.75" thickBot="1" x14ac:dyDescent="0.3">
      <c r="B46" s="239"/>
      <c r="C46" s="228"/>
      <c r="D46" s="228"/>
      <c r="E46" s="228"/>
      <c r="F46" s="228"/>
      <c r="G46" s="228"/>
      <c r="H46" s="228"/>
      <c r="I46" s="241"/>
      <c r="J46" s="233"/>
      <c r="K46" s="233"/>
    </row>
    <row r="47" spans="2:17" ht="15.75" thickBot="1" x14ac:dyDescent="0.3">
      <c r="B47" s="398" t="s">
        <v>171</v>
      </c>
      <c r="C47" s="399"/>
      <c r="D47" s="399"/>
      <c r="E47" s="399"/>
      <c r="F47" s="399"/>
      <c r="G47" s="399"/>
      <c r="H47" s="399"/>
      <c r="I47" s="399"/>
      <c r="J47" s="399"/>
      <c r="K47" s="399"/>
      <c r="L47" s="227">
        <v>4859360</v>
      </c>
    </row>
    <row r="48" spans="2:17" x14ac:dyDescent="0.25">
      <c r="B48" s="239">
        <v>18</v>
      </c>
      <c r="C48" s="392" t="s">
        <v>172</v>
      </c>
      <c r="D48" s="392"/>
      <c r="E48" s="392"/>
      <c r="F48" s="392"/>
      <c r="G48" s="392"/>
      <c r="H48" s="392"/>
      <c r="I48" s="247"/>
      <c r="J48" s="233"/>
      <c r="K48" s="220">
        <v>1266765.74</v>
      </c>
      <c r="L48" s="222">
        <v>0.22500000000000001</v>
      </c>
    </row>
    <row r="49" spans="2:27" x14ac:dyDescent="0.25">
      <c r="B49" s="239">
        <v>19</v>
      </c>
      <c r="C49" s="392" t="s">
        <v>173</v>
      </c>
      <c r="D49" s="392"/>
      <c r="E49" s="392"/>
      <c r="F49" s="392"/>
      <c r="G49" s="392"/>
      <c r="H49" s="392"/>
      <c r="I49" s="247"/>
      <c r="J49" s="233"/>
      <c r="K49" s="221"/>
      <c r="L49" s="227">
        <f>L47*L48</f>
        <v>1093356</v>
      </c>
    </row>
    <row r="50" spans="2:27" x14ac:dyDescent="0.25">
      <c r="B50" s="239">
        <v>20</v>
      </c>
      <c r="C50" s="228" t="s">
        <v>174</v>
      </c>
      <c r="D50" s="228"/>
      <c r="E50" s="228"/>
      <c r="F50" s="228"/>
      <c r="G50" s="228"/>
      <c r="H50" s="228"/>
      <c r="I50" s="247"/>
      <c r="J50" s="233"/>
      <c r="K50" s="248">
        <f>K48-K49</f>
        <v>1266765.74</v>
      </c>
      <c r="L50" s="227">
        <f>L49/100</f>
        <v>10933.56</v>
      </c>
    </row>
    <row r="51" spans="2:27" ht="15.75" thickBot="1" x14ac:dyDescent="0.3">
      <c r="B51" s="239"/>
      <c r="C51" s="245"/>
      <c r="D51" s="106"/>
      <c r="E51" s="106"/>
      <c r="F51" s="106"/>
      <c r="G51" s="106"/>
      <c r="H51" s="246"/>
      <c r="I51" s="241"/>
      <c r="J51" s="233"/>
      <c r="K51" s="233"/>
    </row>
    <row r="52" spans="2:27" ht="15.75" thickBot="1" x14ac:dyDescent="0.3">
      <c r="B52" s="398" t="s">
        <v>175</v>
      </c>
      <c r="C52" s="399"/>
      <c r="D52" s="399"/>
      <c r="E52" s="399"/>
      <c r="F52" s="399"/>
      <c r="G52" s="399"/>
      <c r="H52" s="399"/>
      <c r="I52" s="399"/>
      <c r="J52" s="399"/>
      <c r="K52" s="399"/>
    </row>
    <row r="53" spans="2:27" x14ac:dyDescent="0.25">
      <c r="B53" s="250">
        <v>21</v>
      </c>
      <c r="C53" s="392" t="s">
        <v>176</v>
      </c>
      <c r="D53" s="392"/>
      <c r="E53" s="392"/>
      <c r="F53" s="392"/>
      <c r="G53" s="392"/>
      <c r="H53" s="392"/>
      <c r="I53" s="247">
        <f>K53*22.5%</f>
        <v>4228804.3500000006</v>
      </c>
      <c r="J53" s="233"/>
      <c r="K53" s="220">
        <v>18794686</v>
      </c>
      <c r="O53" s="227">
        <v>2973029.9267640822</v>
      </c>
      <c r="Q53" s="221"/>
    </row>
    <row r="54" spans="2:27" x14ac:dyDescent="0.25">
      <c r="B54" s="250">
        <v>22</v>
      </c>
      <c r="C54" s="392" t="s">
        <v>173</v>
      </c>
      <c r="D54" s="392"/>
      <c r="E54" s="392"/>
      <c r="F54" s="392"/>
      <c r="G54" s="392"/>
      <c r="H54" s="392"/>
      <c r="I54" s="247">
        <f t="shared" ref="I54:I55" si="1">K54*22.5%</f>
        <v>2973029.9267640822</v>
      </c>
      <c r="J54" s="233"/>
      <c r="K54" s="221">
        <v>13213466.341173697</v>
      </c>
      <c r="O54" s="222">
        <v>0.22500000000000001</v>
      </c>
      <c r="Q54" s="223"/>
    </row>
    <row r="55" spans="2:27" x14ac:dyDescent="0.25">
      <c r="B55" s="250">
        <v>23</v>
      </c>
      <c r="C55" s="228" t="s">
        <v>177</v>
      </c>
      <c r="D55" s="228"/>
      <c r="E55" s="228"/>
      <c r="F55" s="228"/>
      <c r="G55" s="228"/>
      <c r="H55" s="228"/>
      <c r="I55" s="247">
        <f t="shared" si="1"/>
        <v>1255774.4232359182</v>
      </c>
      <c r="J55" s="233"/>
      <c r="K55" s="248">
        <f>K53-K54</f>
        <v>5581219.6588263027</v>
      </c>
      <c r="O55" s="227">
        <f>O53/O54</f>
        <v>13213466.341173697</v>
      </c>
      <c r="Q55" s="138"/>
    </row>
    <row r="56" spans="2:27" ht="15.75" thickBot="1" x14ac:dyDescent="0.3">
      <c r="B56" s="250"/>
      <c r="C56" s="228"/>
      <c r="D56" s="228"/>
      <c r="E56" s="228"/>
      <c r="F56" s="228"/>
      <c r="G56" s="228"/>
      <c r="H56" s="228"/>
      <c r="I56" s="241"/>
      <c r="J56" s="233"/>
      <c r="K56" s="233"/>
      <c r="O56" s="227">
        <f>O55/100</f>
        <v>132134.66341173698</v>
      </c>
      <c r="Q56" s="138"/>
    </row>
    <row r="57" spans="2:27" ht="15.75" thickBot="1" x14ac:dyDescent="0.3">
      <c r="B57" s="398" t="s">
        <v>178</v>
      </c>
      <c r="C57" s="399"/>
      <c r="D57" s="399"/>
      <c r="E57" s="399"/>
      <c r="F57" s="399"/>
      <c r="G57" s="399"/>
      <c r="H57" s="399"/>
      <c r="I57" s="399"/>
      <c r="J57" s="399"/>
      <c r="K57" s="399"/>
    </row>
    <row r="58" spans="2:27" s="75" customFormat="1" x14ac:dyDescent="0.25">
      <c r="B58" s="251">
        <v>24</v>
      </c>
      <c r="C58" s="392" t="s">
        <v>179</v>
      </c>
      <c r="D58" s="392"/>
      <c r="E58" s="392"/>
      <c r="F58" s="392"/>
      <c r="G58" s="392"/>
      <c r="H58" s="392"/>
      <c r="I58" s="241"/>
      <c r="J58" s="233"/>
      <c r="K58" s="220">
        <f>'[1]LEY DE INGRESOS'!C13</f>
        <v>45920944</v>
      </c>
      <c r="AA58" s="249"/>
    </row>
    <row r="59" spans="2:27" x14ac:dyDescent="0.25">
      <c r="B59" s="239">
        <v>25</v>
      </c>
      <c r="C59" s="392" t="s">
        <v>180</v>
      </c>
      <c r="D59" s="392"/>
      <c r="E59" s="392"/>
      <c r="F59" s="392"/>
      <c r="G59" s="392"/>
      <c r="H59" s="392"/>
      <c r="I59" s="241"/>
      <c r="J59" s="233"/>
      <c r="K59" s="221">
        <v>25000000</v>
      </c>
    </row>
    <row r="60" spans="2:27" x14ac:dyDescent="0.25">
      <c r="B60" s="239">
        <v>26</v>
      </c>
      <c r="C60" s="228" t="s">
        <v>181</v>
      </c>
      <c r="D60" s="228"/>
      <c r="E60" s="228"/>
      <c r="F60" s="228"/>
      <c r="G60" s="228"/>
      <c r="H60" s="228"/>
      <c r="I60" s="241"/>
      <c r="J60" s="233"/>
      <c r="K60" s="221">
        <f>K58-K59</f>
        <v>20920944</v>
      </c>
    </row>
    <row r="61" spans="2:27" x14ac:dyDescent="0.25">
      <c r="B61" s="239"/>
      <c r="C61" s="252"/>
      <c r="D61" s="228"/>
      <c r="E61" s="228"/>
      <c r="F61" s="228"/>
      <c r="G61" s="228"/>
      <c r="H61" s="253"/>
      <c r="I61" s="241"/>
      <c r="J61" s="233"/>
      <c r="K61" s="233"/>
    </row>
    <row r="62" spans="2:27" ht="15.75" thickBot="1" x14ac:dyDescent="0.3">
      <c r="B62" s="239"/>
      <c r="C62" s="252"/>
      <c r="D62" s="228"/>
      <c r="E62" s="228"/>
      <c r="F62" s="228"/>
      <c r="G62" s="228"/>
      <c r="H62" s="253"/>
      <c r="I62" s="241"/>
      <c r="J62" s="233"/>
      <c r="K62" s="233"/>
    </row>
    <row r="63" spans="2:27" ht="15.75" thickBot="1" x14ac:dyDescent="0.3">
      <c r="B63" s="398" t="s">
        <v>182</v>
      </c>
      <c r="C63" s="399"/>
      <c r="D63" s="399"/>
      <c r="E63" s="399"/>
      <c r="F63" s="399"/>
      <c r="G63" s="399"/>
      <c r="H63" s="399"/>
      <c r="I63" s="399"/>
      <c r="J63" s="399"/>
      <c r="K63" s="399"/>
    </row>
    <row r="64" spans="2:27" x14ac:dyDescent="0.25">
      <c r="B64" s="239"/>
      <c r="C64" s="392" t="s">
        <v>183</v>
      </c>
      <c r="D64" s="392"/>
      <c r="E64" s="392"/>
      <c r="F64" s="392"/>
      <c r="G64" s="392"/>
      <c r="H64" s="392"/>
      <c r="I64" s="241"/>
      <c r="J64" s="233"/>
      <c r="K64" s="220">
        <v>3844937.04</v>
      </c>
    </row>
    <row r="65" spans="2:13" x14ac:dyDescent="0.25">
      <c r="B65" s="239"/>
      <c r="C65" s="392" t="s">
        <v>184</v>
      </c>
      <c r="D65" s="392"/>
      <c r="E65" s="392"/>
      <c r="F65" s="392"/>
      <c r="G65" s="392"/>
      <c r="H65" s="392"/>
      <c r="I65" s="241"/>
      <c r="J65" s="233"/>
      <c r="K65" s="221"/>
    </row>
    <row r="66" spans="2:13" ht="15.75" thickBot="1" x14ac:dyDescent="0.3">
      <c r="B66" s="239"/>
      <c r="C66" s="228"/>
      <c r="D66" s="228"/>
      <c r="E66" s="228"/>
      <c r="F66" s="228"/>
      <c r="G66" s="228"/>
      <c r="H66" s="228"/>
      <c r="I66" s="241"/>
      <c r="J66" s="233"/>
      <c r="K66" s="221"/>
    </row>
    <row r="67" spans="2:13" x14ac:dyDescent="0.25">
      <c r="B67" s="239"/>
      <c r="C67" s="393" t="s">
        <v>185</v>
      </c>
      <c r="D67" s="394"/>
      <c r="E67" s="394"/>
      <c r="F67" s="394"/>
      <c r="G67" s="394"/>
      <c r="H67" s="394"/>
      <c r="I67" s="254">
        <f>K64*0.6</f>
        <v>2306962.2239999999</v>
      </c>
      <c r="J67" s="255">
        <f>I67*0.225</f>
        <v>519066.50040000002</v>
      </c>
      <c r="K67" s="221"/>
      <c r="M67" s="138"/>
    </row>
    <row r="68" spans="2:13" x14ac:dyDescent="0.25">
      <c r="B68" s="239"/>
      <c r="C68" s="390" t="s">
        <v>186</v>
      </c>
      <c r="D68" s="391"/>
      <c r="E68" s="391"/>
      <c r="F68" s="391"/>
      <c r="G68" s="391"/>
      <c r="H68" s="391"/>
      <c r="I68" s="254">
        <f>K64*0.3</f>
        <v>1153481.112</v>
      </c>
      <c r="J68" s="255">
        <f t="shared" ref="J68:J69" si="2">I68*0.225</f>
        <v>259533.25020000001</v>
      </c>
      <c r="K68" s="221"/>
    </row>
    <row r="69" spans="2:13" x14ac:dyDescent="0.25">
      <c r="B69" s="239"/>
      <c r="C69" s="390" t="s">
        <v>187</v>
      </c>
      <c r="D69" s="391"/>
      <c r="E69" s="391"/>
      <c r="F69" s="391"/>
      <c r="G69" s="391"/>
      <c r="H69" s="391"/>
      <c r="I69" s="254">
        <f>K64*0.1</f>
        <v>384493.70400000003</v>
      </c>
      <c r="J69" s="255">
        <f t="shared" si="2"/>
        <v>86511.083400000003</v>
      </c>
      <c r="K69" s="221"/>
    </row>
    <row r="70" spans="2:13" x14ac:dyDescent="0.25">
      <c r="B70" s="239"/>
      <c r="C70" s="390" t="s">
        <v>188</v>
      </c>
      <c r="D70" s="391"/>
      <c r="E70" s="391"/>
      <c r="F70" s="391"/>
      <c r="G70" s="391"/>
      <c r="H70" s="391"/>
      <c r="I70" s="254">
        <f>SUM(I67:I69)</f>
        <v>3844937.04</v>
      </c>
      <c r="J70" s="255">
        <f>J67+J68+J69</f>
        <v>865110.83400000003</v>
      </c>
      <c r="K70" s="221"/>
    </row>
    <row r="71" spans="2:13" ht="15.75" thickBot="1" x14ac:dyDescent="0.3">
      <c r="B71" s="239"/>
      <c r="C71" s="395"/>
      <c r="D71" s="396"/>
      <c r="E71" s="396"/>
      <c r="F71" s="396"/>
      <c r="G71" s="396"/>
      <c r="H71" s="397"/>
      <c r="I71" s="241"/>
      <c r="J71" s="233"/>
      <c r="K71" s="233"/>
    </row>
    <row r="72" spans="2:13" ht="15.75" thickBot="1" x14ac:dyDescent="0.3">
      <c r="B72" s="398" t="s">
        <v>189</v>
      </c>
      <c r="C72" s="399"/>
      <c r="D72" s="399"/>
      <c r="E72" s="399"/>
      <c r="F72" s="399"/>
      <c r="G72" s="399"/>
      <c r="H72" s="399"/>
      <c r="I72" s="399"/>
      <c r="J72" s="399"/>
      <c r="K72" s="399"/>
    </row>
    <row r="73" spans="2:13" x14ac:dyDescent="0.25">
      <c r="B73" s="239"/>
      <c r="C73" s="395"/>
      <c r="D73" s="396"/>
      <c r="E73" s="396"/>
      <c r="F73" s="396"/>
      <c r="G73" s="396"/>
      <c r="H73" s="397"/>
      <c r="I73" s="241"/>
      <c r="J73" s="233"/>
      <c r="K73" s="221"/>
    </row>
    <row r="74" spans="2:13" x14ac:dyDescent="0.25">
      <c r="B74" s="239">
        <v>27</v>
      </c>
      <c r="C74" s="392" t="s">
        <v>190</v>
      </c>
      <c r="D74" s="392"/>
      <c r="E74" s="392"/>
      <c r="F74" s="392"/>
      <c r="G74" s="392"/>
      <c r="H74" s="392"/>
      <c r="I74" s="241"/>
      <c r="J74" s="233"/>
      <c r="K74" s="221">
        <v>816484</v>
      </c>
    </row>
    <row r="75" spans="2:13" x14ac:dyDescent="0.25">
      <c r="B75" s="239"/>
      <c r="C75" s="392"/>
      <c r="D75" s="392"/>
      <c r="E75" s="392"/>
      <c r="F75" s="392"/>
      <c r="G75" s="392"/>
      <c r="H75" s="392"/>
      <c r="I75" s="241"/>
      <c r="J75" s="233"/>
      <c r="K75" s="233"/>
    </row>
    <row r="76" spans="2:13" ht="15.75" thickBot="1" x14ac:dyDescent="0.3">
      <c r="B76" s="239"/>
      <c r="C76" s="228"/>
      <c r="D76" s="228"/>
      <c r="E76" s="228"/>
      <c r="F76" s="228"/>
      <c r="G76" s="228"/>
      <c r="H76" s="228"/>
      <c r="I76" s="241"/>
      <c r="J76" s="233"/>
      <c r="K76" s="233"/>
    </row>
    <row r="77" spans="2:13" x14ac:dyDescent="0.25">
      <c r="B77" s="239"/>
      <c r="C77" s="393" t="s">
        <v>185</v>
      </c>
      <c r="D77" s="394"/>
      <c r="E77" s="394"/>
      <c r="F77" s="394"/>
      <c r="G77" s="394"/>
      <c r="H77" s="394"/>
      <c r="I77" s="254">
        <f>K74*0.6</f>
        <v>489890.39999999997</v>
      </c>
      <c r="J77" s="255">
        <f>I77*0.225</f>
        <v>110225.34</v>
      </c>
      <c r="K77" s="233"/>
    </row>
    <row r="78" spans="2:13" x14ac:dyDescent="0.25">
      <c r="B78" s="239"/>
      <c r="C78" s="390" t="s">
        <v>186</v>
      </c>
      <c r="D78" s="391"/>
      <c r="E78" s="391"/>
      <c r="F78" s="391"/>
      <c r="G78" s="391"/>
      <c r="H78" s="391"/>
      <c r="I78" s="254">
        <f>K74*0.3</f>
        <v>244945.19999999998</v>
      </c>
      <c r="J78" s="255">
        <f t="shared" ref="J78:J79" si="3">I78*0.225</f>
        <v>55112.67</v>
      </c>
      <c r="K78" s="233"/>
    </row>
    <row r="79" spans="2:13" x14ac:dyDescent="0.25">
      <c r="B79" s="239"/>
      <c r="C79" s="390" t="s">
        <v>187</v>
      </c>
      <c r="D79" s="391"/>
      <c r="E79" s="391"/>
      <c r="F79" s="391"/>
      <c r="G79" s="391"/>
      <c r="H79" s="391"/>
      <c r="I79" s="254">
        <f>K74*0.1</f>
        <v>81648.400000000009</v>
      </c>
      <c r="J79" s="255">
        <f t="shared" si="3"/>
        <v>18370.890000000003</v>
      </c>
      <c r="K79" s="233"/>
    </row>
    <row r="80" spans="2:13" x14ac:dyDescent="0.25">
      <c r="B80" s="239"/>
      <c r="C80" s="390" t="s">
        <v>188</v>
      </c>
      <c r="D80" s="391"/>
      <c r="E80" s="391"/>
      <c r="F80" s="391"/>
      <c r="G80" s="391"/>
      <c r="H80" s="391"/>
      <c r="I80" s="254">
        <f>SUM(I77:I79)</f>
        <v>816484</v>
      </c>
      <c r="J80" s="255">
        <f>J77+J78+J79</f>
        <v>183708.90000000002</v>
      </c>
      <c r="K80" s="233"/>
    </row>
    <row r="81" spans="2:11" x14ac:dyDescent="0.25">
      <c r="B81" s="239"/>
      <c r="C81" s="228"/>
      <c r="D81" s="228"/>
      <c r="E81" s="228"/>
      <c r="F81" s="228"/>
      <c r="G81" s="228"/>
      <c r="H81" s="228"/>
      <c r="I81" s="241"/>
      <c r="J81" s="233"/>
      <c r="K81" s="233"/>
    </row>
    <row r="82" spans="2:11" x14ac:dyDescent="0.25">
      <c r="B82" s="239"/>
      <c r="C82" s="245"/>
      <c r="D82" s="106"/>
      <c r="E82" s="106"/>
      <c r="F82" s="106"/>
      <c r="G82" s="106"/>
      <c r="H82" s="246"/>
      <c r="I82" s="241"/>
      <c r="J82" s="233"/>
      <c r="K82" s="233"/>
    </row>
    <row r="83" spans="2:11" x14ac:dyDescent="0.25">
      <c r="B83" s="256"/>
      <c r="C83" s="400" t="s">
        <v>88</v>
      </c>
      <c r="D83" s="401"/>
      <c r="E83" s="401"/>
      <c r="F83" s="401"/>
      <c r="G83" s="401"/>
      <c r="H83" s="402"/>
      <c r="I83" s="403"/>
      <c r="J83" s="404"/>
      <c r="K83" s="404"/>
    </row>
    <row r="84" spans="2:11" x14ac:dyDescent="0.25">
      <c r="C84" s="257"/>
      <c r="D84" s="257"/>
      <c r="E84" s="257"/>
      <c r="F84" s="257"/>
      <c r="G84" s="257"/>
      <c r="H84" s="257"/>
      <c r="I84" s="258"/>
      <c r="J84" s="258"/>
      <c r="K84" s="75"/>
    </row>
    <row r="85" spans="2:11" ht="15" customHeight="1" x14ac:dyDescent="0.25">
      <c r="C85" s="257" t="s">
        <v>191</v>
      </c>
      <c r="D85" s="257"/>
      <c r="E85" s="257"/>
      <c r="F85" s="257"/>
      <c r="G85" s="257"/>
      <c r="H85" s="257"/>
      <c r="I85" s="258"/>
      <c r="J85" s="258"/>
      <c r="K85" s="75"/>
    </row>
    <row r="86" spans="2:11" ht="14.45" customHeight="1" x14ac:dyDescent="0.25"/>
  </sheetData>
  <mergeCells count="73">
    <mergeCell ref="C10:H10"/>
    <mergeCell ref="I10:K10"/>
    <mergeCell ref="C4:K4"/>
    <mergeCell ref="B5:K5"/>
    <mergeCell ref="B6:H6"/>
    <mergeCell ref="B8:K8"/>
    <mergeCell ref="C9:H9"/>
    <mergeCell ref="C22:H22"/>
    <mergeCell ref="C23:H23"/>
    <mergeCell ref="C25:H25"/>
    <mergeCell ref="C12:H12"/>
    <mergeCell ref="I12:K12"/>
    <mergeCell ref="C13:H13"/>
    <mergeCell ref="I13:K13"/>
    <mergeCell ref="C14:H14"/>
    <mergeCell ref="I14:K14"/>
    <mergeCell ref="B21:K21"/>
    <mergeCell ref="C15:H15"/>
    <mergeCell ref="I15:K15"/>
    <mergeCell ref="C16:H16"/>
    <mergeCell ref="I16:K16"/>
    <mergeCell ref="C17:H17"/>
    <mergeCell ref="I17:K17"/>
    <mergeCell ref="C18:H18"/>
    <mergeCell ref="C19:H19"/>
    <mergeCell ref="I19:K19"/>
    <mergeCell ref="C20:H20"/>
    <mergeCell ref="I20:K20"/>
    <mergeCell ref="C26:H26"/>
    <mergeCell ref="C27:H27"/>
    <mergeCell ref="C39:H39"/>
    <mergeCell ref="B42:K42"/>
    <mergeCell ref="L32:M32"/>
    <mergeCell ref="C33:H33"/>
    <mergeCell ref="C34:H34"/>
    <mergeCell ref="C29:H29"/>
    <mergeCell ref="C30:H30"/>
    <mergeCell ref="B32:K32"/>
    <mergeCell ref="B37:K37"/>
    <mergeCell ref="C38:H38"/>
    <mergeCell ref="I38:K38"/>
    <mergeCell ref="C28:H28"/>
    <mergeCell ref="B57:K57"/>
    <mergeCell ref="C58:H58"/>
    <mergeCell ref="C59:H59"/>
    <mergeCell ref="B63:K63"/>
    <mergeCell ref="C43:H43"/>
    <mergeCell ref="I43:K43"/>
    <mergeCell ref="C79:H79"/>
    <mergeCell ref="C80:H80"/>
    <mergeCell ref="C83:H83"/>
    <mergeCell ref="I83:K83"/>
    <mergeCell ref="L5:L6"/>
    <mergeCell ref="C74:H74"/>
    <mergeCell ref="C75:H75"/>
    <mergeCell ref="C77:H77"/>
    <mergeCell ref="C64:H64"/>
    <mergeCell ref="C44:H44"/>
    <mergeCell ref="B47:K47"/>
    <mergeCell ref="C48:H48"/>
    <mergeCell ref="C49:H49"/>
    <mergeCell ref="B52:K52"/>
    <mergeCell ref="C53:H53"/>
    <mergeCell ref="C54:H54"/>
    <mergeCell ref="C78:H78"/>
    <mergeCell ref="C65:H65"/>
    <mergeCell ref="C67:H67"/>
    <mergeCell ref="C68:H68"/>
    <mergeCell ref="C70:H70"/>
    <mergeCell ref="C71:H71"/>
    <mergeCell ref="B72:K72"/>
    <mergeCell ref="C73:H73"/>
    <mergeCell ref="C69:H69"/>
  </mergeCells>
  <pageMargins left="0" right="0.11811023622047245" top="0.74803149606299213" bottom="0.74803149606299213" header="0.31496062992125984" footer="0.31496062992125984"/>
  <pageSetup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3" tint="0.79998168889431442"/>
    <pageSetUpPr fitToPage="1"/>
  </sheetPr>
  <dimension ref="B2:D33"/>
  <sheetViews>
    <sheetView topLeftCell="A3" zoomScale="90" zoomScaleNormal="90" workbookViewId="0">
      <selection activeCell="H14" sqref="H14"/>
    </sheetView>
  </sheetViews>
  <sheetFormatPr baseColWidth="10" defaultRowHeight="15" x14ac:dyDescent="0.25"/>
  <cols>
    <col min="1" max="1" width="2.77734375" style="46" customWidth="1"/>
    <col min="2" max="2" width="22.5546875" style="46" customWidth="1"/>
    <col min="3" max="3" width="23.77734375" style="46" customWidth="1"/>
    <col min="4" max="16384" width="11.5546875" style="46"/>
  </cols>
  <sheetData>
    <row r="2" spans="2:4" x14ac:dyDescent="0.25">
      <c r="B2" s="44"/>
      <c r="C2" s="44"/>
    </row>
    <row r="3" spans="2:4" x14ac:dyDescent="0.25">
      <c r="B3" s="435" t="s">
        <v>197</v>
      </c>
      <c r="C3" s="435"/>
    </row>
    <row r="4" spans="2:4" x14ac:dyDescent="0.25">
      <c r="B4" s="435"/>
      <c r="C4" s="435"/>
    </row>
    <row r="5" spans="2:4" ht="15.75" thickBot="1" x14ac:dyDescent="0.3">
      <c r="B5" s="47"/>
      <c r="C5" s="47"/>
    </row>
    <row r="6" spans="2:4" ht="15" customHeight="1" x14ac:dyDescent="0.25">
      <c r="B6" s="376" t="s">
        <v>90</v>
      </c>
      <c r="C6" s="376" t="s">
        <v>217</v>
      </c>
    </row>
    <row r="7" spans="2:4" x14ac:dyDescent="0.25">
      <c r="B7" s="377"/>
      <c r="C7" s="379"/>
    </row>
    <row r="8" spans="2:4" x14ac:dyDescent="0.25">
      <c r="B8" s="377"/>
      <c r="C8" s="379"/>
    </row>
    <row r="9" spans="2:4" ht="15.75" thickBot="1" x14ac:dyDescent="0.3">
      <c r="B9" s="378"/>
      <c r="C9" s="380"/>
    </row>
    <row r="10" spans="2:4" ht="24" customHeight="1" x14ac:dyDescent="0.25">
      <c r="B10" s="259" t="s">
        <v>68</v>
      </c>
      <c r="C10" s="260">
        <v>37309</v>
      </c>
      <c r="D10" s="261"/>
    </row>
    <row r="11" spans="2:4" ht="24" customHeight="1" x14ac:dyDescent="0.25">
      <c r="B11" s="259" t="s">
        <v>69</v>
      </c>
      <c r="C11" s="262">
        <v>15953</v>
      </c>
      <c r="D11" s="261"/>
    </row>
    <row r="12" spans="2:4" ht="24" customHeight="1" x14ac:dyDescent="0.25">
      <c r="B12" s="259" t="s">
        <v>70</v>
      </c>
      <c r="C12" s="263">
        <v>11851</v>
      </c>
      <c r="D12" s="261"/>
    </row>
    <row r="13" spans="2:4" ht="24" customHeight="1" x14ac:dyDescent="0.25">
      <c r="B13" s="259" t="s">
        <v>71</v>
      </c>
      <c r="C13" s="263">
        <v>150250</v>
      </c>
      <c r="D13" s="261"/>
    </row>
    <row r="14" spans="2:4" ht="24" customHeight="1" x14ac:dyDescent="0.25">
      <c r="B14" s="259" t="s">
        <v>72</v>
      </c>
      <c r="C14" s="263">
        <v>75520</v>
      </c>
      <c r="D14" s="261"/>
    </row>
    <row r="15" spans="2:4" ht="24" customHeight="1" x14ac:dyDescent="0.25">
      <c r="B15" s="259" t="s">
        <v>73</v>
      </c>
      <c r="C15" s="263">
        <v>42514</v>
      </c>
      <c r="D15" s="261"/>
    </row>
    <row r="16" spans="2:4" ht="24" customHeight="1" x14ac:dyDescent="0.25">
      <c r="B16" s="259" t="s">
        <v>74</v>
      </c>
      <c r="C16" s="263">
        <v>12614</v>
      </c>
      <c r="D16" s="261"/>
    </row>
    <row r="17" spans="2:4" ht="24" customHeight="1" x14ac:dyDescent="0.25">
      <c r="B17" s="259" t="s">
        <v>75</v>
      </c>
      <c r="C17" s="263">
        <v>29416</v>
      </c>
      <c r="D17" s="261"/>
    </row>
    <row r="18" spans="2:4" ht="24" customHeight="1" x14ac:dyDescent="0.25">
      <c r="B18" s="259" t="s">
        <v>76</v>
      </c>
      <c r="C18" s="263">
        <v>18580</v>
      </c>
      <c r="D18" s="261"/>
    </row>
    <row r="19" spans="2:4" ht="24" customHeight="1" x14ac:dyDescent="0.25">
      <c r="B19" s="259" t="s">
        <v>77</v>
      </c>
      <c r="C19" s="263">
        <v>14315</v>
      </c>
      <c r="D19" s="261"/>
    </row>
    <row r="20" spans="2:4" ht="24" customHeight="1" x14ac:dyDescent="0.25">
      <c r="B20" s="259" t="s">
        <v>78</v>
      </c>
      <c r="C20" s="263">
        <v>33901</v>
      </c>
      <c r="D20" s="261"/>
    </row>
    <row r="21" spans="2:4" ht="24" customHeight="1" x14ac:dyDescent="0.25">
      <c r="B21" s="259" t="s">
        <v>79</v>
      </c>
      <c r="C21" s="263">
        <v>24743</v>
      </c>
      <c r="D21" s="261"/>
    </row>
    <row r="22" spans="2:4" ht="24" customHeight="1" x14ac:dyDescent="0.25">
      <c r="B22" s="259" t="s">
        <v>80</v>
      </c>
      <c r="C22" s="263">
        <v>43979</v>
      </c>
      <c r="D22" s="261"/>
    </row>
    <row r="23" spans="2:4" ht="24" customHeight="1" x14ac:dyDescent="0.25">
      <c r="B23" s="259" t="s">
        <v>81</v>
      </c>
      <c r="C23" s="263">
        <v>7499</v>
      </c>
      <c r="D23" s="261"/>
    </row>
    <row r="24" spans="2:4" ht="24" customHeight="1" x14ac:dyDescent="0.25">
      <c r="B24" s="259" t="s">
        <v>82</v>
      </c>
      <c r="C24" s="263">
        <v>23477</v>
      </c>
      <c r="D24" s="261"/>
    </row>
    <row r="25" spans="2:4" ht="24" customHeight="1" x14ac:dyDescent="0.25">
      <c r="B25" s="259" t="s">
        <v>83</v>
      </c>
      <c r="C25" s="263">
        <v>97820</v>
      </c>
      <c r="D25" s="261"/>
    </row>
    <row r="26" spans="2:4" ht="24" customHeight="1" x14ac:dyDescent="0.25">
      <c r="B26" s="259" t="s">
        <v>84</v>
      </c>
      <c r="C26" s="263">
        <v>39718</v>
      </c>
      <c r="D26" s="261"/>
    </row>
    <row r="27" spans="2:4" ht="24" customHeight="1" x14ac:dyDescent="0.25">
      <c r="B27" s="259" t="s">
        <v>85</v>
      </c>
      <c r="C27" s="263">
        <v>413608</v>
      </c>
      <c r="D27" s="261"/>
    </row>
    <row r="28" spans="2:4" ht="24" customHeight="1" x14ac:dyDescent="0.25">
      <c r="B28" s="259" t="s">
        <v>86</v>
      </c>
      <c r="C28" s="263">
        <v>30565</v>
      </c>
      <c r="D28" s="261"/>
    </row>
    <row r="29" spans="2:4" ht="24" customHeight="1" thickBot="1" x14ac:dyDescent="0.3">
      <c r="B29" s="259" t="s">
        <v>87</v>
      </c>
      <c r="C29" s="263">
        <v>57418</v>
      </c>
      <c r="D29" s="261"/>
    </row>
    <row r="30" spans="2:4" ht="24" customHeight="1" thickBot="1" x14ac:dyDescent="0.3">
      <c r="B30" s="264" t="s">
        <v>88</v>
      </c>
      <c r="C30" s="265">
        <f>SUM(C10:C29)</f>
        <v>1181050</v>
      </c>
    </row>
    <row r="31" spans="2:4" x14ac:dyDescent="0.25">
      <c r="B31" s="44"/>
      <c r="C31" s="44"/>
    </row>
    <row r="32" spans="2:4" x14ac:dyDescent="0.25">
      <c r="B32" s="44" t="s">
        <v>198</v>
      </c>
      <c r="C32" s="44"/>
    </row>
    <row r="33" spans="2:2" x14ac:dyDescent="0.25">
      <c r="B33" s="175" t="s">
        <v>199</v>
      </c>
    </row>
  </sheetData>
  <mergeCells count="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PROVISIONALES</vt:lpstr>
      <vt:lpstr>DEFINITIVAS</vt:lpstr>
      <vt:lpstr>SALDO AJUSTES</vt:lpstr>
      <vt:lpstr>FGP</vt:lpstr>
      <vt:lpstr>FFM</vt:lpstr>
      <vt:lpstr>IEPS TyA</vt:lpstr>
      <vt:lpstr>FOFIR</vt:lpstr>
      <vt:lpstr>Datos!Área_de_impresión</vt:lpstr>
      <vt:lpstr>DEFINITIVAS!Área_de_impresión</vt:lpstr>
      <vt:lpstr>FFM!Área_de_impresión</vt:lpstr>
      <vt:lpstr>FGP!Área_de_impresión</vt:lpstr>
      <vt:lpstr>FOFIR!Área_de_impresión</vt:lpstr>
      <vt:lpstr>'Predial y Agua'!Área_de_impresión</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2021-06-08T19:22:31Z</cp:lastPrinted>
  <dcterms:created xsi:type="dcterms:W3CDTF">2015-06-09T18:03:51Z</dcterms:created>
  <dcterms:modified xsi:type="dcterms:W3CDTF">2021-06-16T18:14:43Z</dcterms:modified>
</cp:coreProperties>
</file>